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EstaPasta_de_trabalho"/>
  <bookViews>
    <workbookView xWindow="25605" yWindow="465" windowWidth="19440" windowHeight="11760" tabRatio="813" activeTab="1"/>
  </bookViews>
  <sheets>
    <sheet name="PREENCHER" sheetId="4" r:id="rId1"/>
    <sheet name="DECLARAÇÃO BDI" sheetId="5" r:id="rId2"/>
    <sheet name="ENCARGOS SOCIAIS" sheetId="6" r:id="rId3"/>
  </sheets>
  <definedNames>
    <definedName name="_xlnm.Print_Area" localSheetId="1">'DECLARAÇÃO BDI'!$A$1:$J$39</definedName>
    <definedName name="_xlnm.Print_Area" localSheetId="0">PREENCHER!$A$1:$M$53</definedName>
    <definedName name="BASEDECALCULO">PREENCHER!$L$17:$M$17</definedName>
    <definedName name="BCALC">#REF!</definedName>
    <definedName name="CREACAU">PREENCHER!$H$12:$I$12</definedName>
    <definedName name="ENC">#REF!</definedName>
    <definedName name="ENCARGOS">PREENCHER!$L$14:$M$14</definedName>
    <definedName name="ente">PREENCHER!$H$5:$I$5</definedName>
    <definedName name="regime">PREENCHER!$G$14:$H$14</definedName>
  </definedNames>
  <calcPr calcId="145621"/>
</workbook>
</file>

<file path=xl/calcChain.xml><?xml version="1.0" encoding="utf-8"?>
<calcChain xmlns="http://schemas.openxmlformats.org/spreadsheetml/2006/main">
  <c r="E41" i="6" l="1"/>
  <c r="E34" i="6"/>
  <c r="E22" i="6"/>
  <c r="E44" i="6" s="1"/>
  <c r="B4" i="5"/>
  <c r="G38" i="4"/>
  <c r="E22" i="5" s="1"/>
  <c r="D8" i="6"/>
  <c r="B6" i="5"/>
  <c r="E13" i="5"/>
  <c r="E14" i="5"/>
  <c r="E15" i="5"/>
  <c r="E16" i="5"/>
  <c r="E17" i="5"/>
  <c r="E19" i="5"/>
  <c r="E20" i="5"/>
  <c r="G37" i="4"/>
  <c r="G34" i="4" s="1"/>
  <c r="D10" i="5"/>
  <c r="B34" i="5"/>
  <c r="B33" i="5"/>
  <c r="B5" i="5"/>
  <c r="J29" i="4"/>
  <c r="H29" i="4" s="1"/>
  <c r="F13" i="5" s="1"/>
  <c r="J46" i="4"/>
  <c r="I46" i="4" s="1"/>
  <c r="J30" i="4"/>
  <c r="H30" i="4" s="1"/>
  <c r="F14" i="5" s="1"/>
  <c r="J31" i="4"/>
  <c r="I31" i="4" s="1"/>
  <c r="G15" i="5" s="1"/>
  <c r="J32" i="4"/>
  <c r="I32" i="4" s="1"/>
  <c r="G16" i="5" s="1"/>
  <c r="J33" i="4"/>
  <c r="H33" i="4" s="1"/>
  <c r="F17" i="5" s="1"/>
  <c r="I29" i="4" l="1"/>
  <c r="G13" i="5" s="1"/>
  <c r="G39" i="4"/>
  <c r="G47" i="4" s="1"/>
  <c r="G46" i="4"/>
  <c r="L30" i="4" s="1"/>
  <c r="I30" i="4"/>
  <c r="G14" i="5" s="1"/>
  <c r="H31" i="4"/>
  <c r="F15" i="5" s="1"/>
  <c r="I33" i="4"/>
  <c r="G17" i="5" s="1"/>
  <c r="E21" i="5"/>
  <c r="E18" i="5" s="1"/>
  <c r="E29" i="5" s="1"/>
  <c r="B3" i="5" s="1"/>
  <c r="E43" i="6"/>
  <c r="E45" i="6" s="1"/>
  <c r="E46" i="6" s="1"/>
  <c r="H46" i="4"/>
  <c r="H32" i="4"/>
  <c r="F16" i="5" s="1"/>
  <c r="L32" i="4" l="1"/>
  <c r="F28" i="5"/>
  <c r="L35" i="4"/>
  <c r="B46" i="4"/>
  <c r="L36" i="4"/>
  <c r="J47" i="4"/>
  <c r="L29" i="4"/>
  <c r="L33" i="4"/>
  <c r="L31" i="4"/>
</calcChain>
</file>

<file path=xl/sharedStrings.xml><?xml version="1.0" encoding="utf-8"?>
<sst xmlns="http://schemas.openxmlformats.org/spreadsheetml/2006/main" count="255" uniqueCount="178">
  <si>
    <t>ADM CENTRAL</t>
  </si>
  <si>
    <t>SEGURO E GARANTIA</t>
  </si>
  <si>
    <t>RISCO</t>
  </si>
  <si>
    <t>DESP. FINANCEIRAS</t>
  </si>
  <si>
    <t>LUCRO</t>
  </si>
  <si>
    <t>MÁX</t>
  </si>
  <si>
    <t>conf. Legislação</t>
  </si>
  <si>
    <t>BDI Desonerado:</t>
  </si>
  <si>
    <t>Adotado</t>
  </si>
  <si>
    <t>Itens</t>
  </si>
  <si>
    <t>AC</t>
  </si>
  <si>
    <t>S+G</t>
  </si>
  <si>
    <t>R</t>
  </si>
  <si>
    <t>DF</t>
  </si>
  <si>
    <t>L</t>
  </si>
  <si>
    <t>I</t>
  </si>
  <si>
    <t>(1 - I)</t>
  </si>
  <si>
    <t>BDI =</t>
  </si>
  <si>
    <t>(1 + AC + S + G + R) * (1 + DF) * (1 + L)</t>
  </si>
  <si>
    <t>Fórmula do BDI</t>
  </si>
  <si>
    <t>Cálculo do BDI conforme Acórdão 2622/2013 TCU</t>
  </si>
  <si>
    <t>BDI Resultante</t>
  </si>
  <si>
    <t>1a</t>
  </si>
  <si>
    <t>1b</t>
  </si>
  <si>
    <t>1c</t>
  </si>
  <si>
    <t>1d</t>
  </si>
  <si>
    <t>1e</t>
  </si>
  <si>
    <t>2a</t>
  </si>
  <si>
    <t>2b</t>
  </si>
  <si>
    <t>2c</t>
  </si>
  <si>
    <t>2d</t>
  </si>
  <si>
    <t>2e</t>
  </si>
  <si>
    <t>1 - Construção de Edifícios</t>
  </si>
  <si>
    <t>2 - Construção de Rodovias e Ferrovias</t>
  </si>
  <si>
    <t>3 - Construção de Redes de Abastecimento de Água, Coleta de Esgoto e Construções Correlatas</t>
  </si>
  <si>
    <t>4 - Construção e Manutenção de Estações e Redes de Distribuição de Energia Elétrica</t>
  </si>
  <si>
    <t>5 - Obras Portuárias, Marítimas e Fluviais</t>
  </si>
  <si>
    <t>6 - Fornecimento de Materiais e Equipamentos</t>
  </si>
  <si>
    <t>3a</t>
  </si>
  <si>
    <t>3b</t>
  </si>
  <si>
    <t>3c</t>
  </si>
  <si>
    <t>3d</t>
  </si>
  <si>
    <t>3e</t>
  </si>
  <si>
    <t>4a</t>
  </si>
  <si>
    <t>4b</t>
  </si>
  <si>
    <t>4c</t>
  </si>
  <si>
    <t>4d</t>
  </si>
  <si>
    <t>4e</t>
  </si>
  <si>
    <t>5a</t>
  </si>
  <si>
    <t>5b</t>
  </si>
  <si>
    <t>5c</t>
  </si>
  <si>
    <t>5d</t>
  </si>
  <si>
    <t>5e</t>
  </si>
  <si>
    <t>6a</t>
  </si>
  <si>
    <t>6b</t>
  </si>
  <si>
    <t>6c</t>
  </si>
  <si>
    <t>6d</t>
  </si>
  <si>
    <t>6e</t>
  </si>
  <si>
    <t>MIN</t>
  </si>
  <si>
    <t>1f</t>
  </si>
  <si>
    <t>2f</t>
  </si>
  <si>
    <t>3f</t>
  </si>
  <si>
    <t>4f</t>
  </si>
  <si>
    <t>5f</t>
  </si>
  <si>
    <t>6f</t>
  </si>
  <si>
    <t>SELECIONE O
TIPO DE OBRA:</t>
  </si>
  <si>
    <t>MÍN</t>
  </si>
  <si>
    <t>IMPOSTOS (Onerado)</t>
  </si>
  <si>
    <t>COFINS</t>
  </si>
  <si>
    <t>PIS</t>
  </si>
  <si>
    <t>IMPOSTOS (Desonerado)</t>
  </si>
  <si>
    <t>%</t>
  </si>
  <si>
    <t>valor total da obra</t>
  </si>
  <si>
    <t>desonerados</t>
  </si>
  <si>
    <t>CPRB</t>
  </si>
  <si>
    <t>valor da mão de obra</t>
  </si>
  <si>
    <t>sem desoneração</t>
  </si>
  <si>
    <t>Composição analítica do BDI (conforme Acórdão 2622/2013 TCU)</t>
  </si>
  <si>
    <t>TIPO DE OBRA:</t>
  </si>
  <si>
    <t>CPRB (p/ desonerado)</t>
  </si>
  <si>
    <t>Nº contrato:</t>
  </si>
  <si>
    <t>Objeto:</t>
  </si>
  <si>
    <t>Encargos :</t>
  </si>
  <si>
    <t>PREENCHA OS CAMPOS EM AMARELO</t>
  </si>
  <si>
    <t>Nome orçamentista:</t>
  </si>
  <si>
    <t xml:space="preserve"> DESP. FINANCEIRAS</t>
  </si>
  <si>
    <t>% de Mão de Obra (em relação ao valor total da obra):</t>
  </si>
  <si>
    <t>Base de cálculo ISSQN:</t>
  </si>
  <si>
    <t>* IMPORTANTE: Esta planilha foi desenvolvida para abranger às situações mais comuns. Poderá haver situações em que este modelo não se aplica. Não é obrigatório o uso desta planilha.</t>
  </si>
  <si>
    <t>Alíquota ISSQN:</t>
  </si>
  <si>
    <t>ISSQN (Aliquota x %Base de cálculo)</t>
  </si>
  <si>
    <t>* O BDI máximo pode ser ultrapassado nos casos em que a empresa vencedora da licitação se enquadre na desoneração (conforme Medida Provisória 601/2012). Neste caso, após definir o BDI "sem desoneração" respeitando os limites das tabelas acima, o cálculo do BDI "desonerado" é feito acrescentando 2% ao item "I - PIS, COFINS e ISSQN", sem alterar as demais parcelas da fórmula.</t>
  </si>
  <si>
    <t>ISSQN (Alíquota x %Base de cálculo)</t>
  </si>
  <si>
    <t>IMPORTANTE: Se o percentual total do BDI exceder o máximo previsto pelo Acórdão 2622/20013, o detalhamento do BDI deve ser acompanhado de relatório técnico circunstanciado, justificando a adoção do percentual adotado para cada parcela do BDI, assinado pelo profissional responsável técnico do orçamento, usando como diretriz os percentuais máximos e mínimos previstos para cada item.</t>
  </si>
  <si>
    <t>Empresa</t>
  </si>
  <si>
    <t>Prefeitura Municipal de</t>
  </si>
  <si>
    <t>Tomador/Empresa:</t>
  </si>
  <si>
    <t>empreitada por preço global</t>
  </si>
  <si>
    <t>Regime de execução: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</si>
  <si>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</si>
  <si>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</si>
  <si>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</si>
  <si>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</si>
  <si>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</si>
  <si>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</si>
  <si>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</si>
  <si>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</si>
  <si>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</si>
  <si>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</si>
  <si>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</si>
  <si>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A7</t>
  </si>
  <si>
    <t>A8</t>
  </si>
  <si>
    <t>FGTS</t>
  </si>
  <si>
    <t>A9</t>
  </si>
  <si>
    <t>SECONCI</t>
  </si>
  <si>
    <t>A</t>
  </si>
  <si>
    <t>B1</t>
  </si>
  <si>
    <t>Repouso Semanal Remunerado</t>
  </si>
  <si>
    <t>B2</t>
  </si>
  <si>
    <t>Feriados</t>
  </si>
  <si>
    <t>B3</t>
  </si>
  <si>
    <t>Auxílio - Enfermidade</t>
  </si>
  <si>
    <t>B4</t>
  </si>
  <si>
    <t>B5</t>
  </si>
  <si>
    <t>Licença Paternidade</t>
  </si>
  <si>
    <t>B6</t>
  </si>
  <si>
    <t>B7</t>
  </si>
  <si>
    <t>Dias de Chuvas</t>
  </si>
  <si>
    <t>B8</t>
  </si>
  <si>
    <t>Auxílio Acidente de Trabalho</t>
  </si>
  <si>
    <t>B9</t>
  </si>
  <si>
    <t>Férias Gozadas</t>
  </si>
  <si>
    <t>B10</t>
  </si>
  <si>
    <t>Salário Maternidade</t>
  </si>
  <si>
    <t>B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</si>
  <si>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</si>
  <si>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</si>
  <si>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</si>
  <si>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</si>
  <si>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</si>
  <si>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</si>
  <si>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</si>
  <si>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</si>
  <si>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</si>
  <si>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</si>
  <si>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C</t>
  </si>
  <si>
    <t>D1</t>
  </si>
  <si>
    <t>Reincidência de Grupo A sobre Grupo B</t>
  </si>
  <si>
    <t>D2</t>
  </si>
  <si>
    <t>D</t>
  </si>
  <si>
    <t>GRUPO B</t>
  </si>
  <si>
    <t>GRUPO C</t>
  </si>
  <si>
    <t>Encargos Sociais sobre a mão de obra</t>
  </si>
  <si>
    <t>CÓDIGO</t>
  </si>
  <si>
    <t>TOTAL</t>
  </si>
  <si>
    <t>SALÁRIO EDUCAÇÃO</t>
  </si>
  <si>
    <t>DESCRIÇÃO</t>
  </si>
  <si>
    <t>GRUPO A</t>
  </si>
  <si>
    <t>13º salário</t>
  </si>
  <si>
    <t>GRUPO D</t>
  </si>
  <si>
    <t>TOTAL ( A + B + C + D )</t>
  </si>
  <si>
    <t>Reincidência de Grupo A sobre Aviso Prévio Trabalhado
 e Reincidência do FGTS sobre Aviso Prévio Indenizado</t>
  </si>
  <si>
    <t>DETALHAMENTO DOS ENCARGOS SOCIAIS</t>
  </si>
  <si>
    <t>Cálculo do BDI</t>
  </si>
  <si>
    <t>o</t>
  </si>
  <si>
    <t>HORISTA</t>
  </si>
  <si>
    <t>SEM DESONERAÇÃO</t>
  </si>
  <si>
    <t>SEGURO CONTRA ACIDENTE DE TRABALHO</t>
  </si>
  <si>
    <t>Faltas Justificadas</t>
  </si>
  <si>
    <t>Cliente: Prefeitura Municipal de Mostardas/RS</t>
  </si>
  <si>
    <t>Endereço: Município de Mostardas/RS</t>
  </si>
  <si>
    <t>Mostardas</t>
  </si>
  <si>
    <t>Rogério Toldo Machado</t>
  </si>
  <si>
    <t>17954-0</t>
  </si>
  <si>
    <t>CAU-RS</t>
  </si>
  <si>
    <t>CENTRAL DE GÁS- E.N.S. APARECIDA -SOLIDÃO</t>
  </si>
  <si>
    <t>Obra: CENTRAL DE GÁS- E.N.S. APARECIDA -SOLIDÃO</t>
  </si>
  <si>
    <t>CAU-RS 17954-0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</si>
</sst>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0.00\ &quot;%&quot;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color indexed="9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0"/>
      <color indexed="9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9"/>
      <name val="Calibri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0" applyFont="1" applyFill="1"/>
    <xf numFmtId="165" fontId="3" fillId="2" borderId="1" xfId="1" applyNumberFormat="1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6" fillId="2" borderId="0" xfId="0" applyNumberFormat="1" applyFont="1" applyFill="1"/>
    <xf numFmtId="0" fontId="7" fillId="2" borderId="3" xfId="0" applyFont="1" applyFill="1" applyBorder="1" applyAlignment="1">
      <alignment horizontal="left" indent="1"/>
    </xf>
    <xf numFmtId="9" fontId="18" fillId="2" borderId="0" xfId="0" applyNumberFormat="1" applyFont="1" applyFill="1"/>
    <xf numFmtId="0" fontId="7" fillId="2" borderId="0" xfId="0" applyFont="1" applyFill="1" applyAlignment="1">
      <alignment horizontal="left"/>
    </xf>
    <xf numFmtId="0" fontId="7" fillId="2" borderId="4" xfId="0" applyFont="1" applyFill="1" applyBorder="1" applyAlignment="1">
      <alignment horizontal="left" indent="1"/>
    </xf>
    <xf numFmtId="0" fontId="7" fillId="2" borderId="0" xfId="0" applyFont="1" applyFill="1"/>
    <xf numFmtId="0" fontId="4" fillId="2" borderId="0" xfId="0" applyFont="1" applyFill="1"/>
    <xf numFmtId="0" fontId="7" fillId="2" borderId="5" xfId="0" applyFont="1" applyFill="1" applyBorder="1" applyAlignment="1">
      <alignment horizontal="left" indent="1"/>
    </xf>
    <xf numFmtId="164" fontId="7" fillId="3" borderId="1" xfId="2" applyFont="1" applyFill="1" applyBorder="1" applyAlignment="1" applyProtection="1">
      <alignment horizontal="center"/>
      <protection locked="0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justify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65" fontId="8" fillId="3" borderId="2" xfId="1" applyNumberFormat="1" applyFont="1" applyFill="1" applyBorder="1" applyAlignment="1">
      <alignment horizontal="center"/>
    </xf>
    <xf numFmtId="165" fontId="8" fillId="2" borderId="2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left" indent="1"/>
    </xf>
    <xf numFmtId="0" fontId="8" fillId="2" borderId="3" xfId="0" applyFont="1" applyFill="1" applyBorder="1" applyAlignment="1">
      <alignment horizontal="left" indent="1"/>
    </xf>
    <xf numFmtId="165" fontId="8" fillId="2" borderId="2" xfId="1" applyNumberFormat="1" applyFont="1" applyFill="1" applyBorder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8" fillId="2" borderId="9" xfId="0" applyFont="1" applyFill="1" applyBorder="1"/>
    <xf numFmtId="0" fontId="8" fillId="2" borderId="10" xfId="0" applyFont="1" applyFill="1" applyBorder="1" applyAlignment="1">
      <alignment horizontal="center" vertical="top"/>
    </xf>
    <xf numFmtId="165" fontId="14" fillId="2" borderId="11" xfId="1" applyNumberFormat="1" applyFont="1" applyFill="1" applyBorder="1" applyAlignment="1">
      <alignment horizontal="center"/>
    </xf>
    <xf numFmtId="0" fontId="13" fillId="2" borderId="0" xfId="0" applyFont="1" applyFill="1"/>
    <xf numFmtId="165" fontId="7" fillId="3" borderId="2" xfId="1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left" indent="2"/>
    </xf>
    <xf numFmtId="165" fontId="3" fillId="2" borderId="0" xfId="1" applyNumberFormat="1" applyFont="1" applyFill="1" applyAlignment="1">
      <alignment horizontal="center"/>
    </xf>
    <xf numFmtId="0" fontId="7" fillId="0" borderId="0" xfId="0" applyFont="1"/>
    <xf numFmtId="10" fontId="7" fillId="0" borderId="0" xfId="0" applyNumberFormat="1" applyFont="1"/>
    <xf numFmtId="0" fontId="4" fillId="0" borderId="1" xfId="0" applyFont="1" applyBorder="1" applyAlignment="1">
      <alignment horizontal="center"/>
    </xf>
    <xf numFmtId="10" fontId="4" fillId="0" borderId="1" xfId="1" applyNumberFormat="1" applyFont="1" applyBorder="1" applyAlignment="1">
      <alignment horizontal="center"/>
    </xf>
    <xf numFmtId="10" fontId="4" fillId="4" borderId="1" xfId="1" applyNumberFormat="1" applyFont="1" applyFill="1" applyBorder="1" applyAlignment="1">
      <alignment horizontal="center" vertical="center"/>
    </xf>
    <xf numFmtId="0" fontId="2" fillId="2" borderId="0" xfId="0" applyFont="1" applyFill="1"/>
    <xf numFmtId="14" fontId="7" fillId="2" borderId="0" xfId="0" applyNumberFormat="1" applyFont="1" applyFill="1"/>
    <xf numFmtId="14" fontId="7" fillId="2" borderId="0" xfId="0" applyNumberFormat="1" applyFont="1" applyFill="1" applyAlignment="1">
      <alignment horizontal="left"/>
    </xf>
    <xf numFmtId="0" fontId="22" fillId="0" borderId="0" xfId="0" applyFont="1" applyAlignment="1" applyProtection="1">
      <alignment horizontal="left" vertical="top"/>
      <protection locked="0"/>
    </xf>
    <xf numFmtId="0" fontId="7" fillId="2" borderId="8" xfId="0" applyFont="1" applyFill="1" applyBorder="1" applyAlignment="1">
      <alignment horizontal="left" indent="1"/>
    </xf>
    <xf numFmtId="0" fontId="7" fillId="2" borderId="0" xfId="0" applyFont="1" applyFill="1" applyAlignment="1">
      <alignment horizontal="center"/>
    </xf>
    <xf numFmtId="2" fontId="7" fillId="2" borderId="0" xfId="0" applyNumberFormat="1" applyFont="1" applyFill="1"/>
    <xf numFmtId="165" fontId="7" fillId="3" borderId="1" xfId="1" applyNumberFormat="1" applyFont="1" applyFill="1" applyBorder="1" applyAlignment="1" applyProtection="1">
      <alignment horizontal="center"/>
      <protection locked="0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7" fillId="2" borderId="3" xfId="0" applyFont="1" applyFill="1" applyBorder="1"/>
    <xf numFmtId="0" fontId="7" fillId="2" borderId="12" xfId="0" applyFont="1" applyFill="1" applyBorder="1" applyAlignment="1">
      <alignment horizontal="left" indent="1"/>
    </xf>
    <xf numFmtId="0" fontId="7" fillId="2" borderId="5" xfId="0" applyFont="1" applyFill="1" applyBorder="1"/>
    <xf numFmtId="2" fontId="7" fillId="2" borderId="0" xfId="0" applyNumberFormat="1" applyFont="1" applyFill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0" fontId="7" fillId="0" borderId="1" xfId="1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0" fontId="7" fillId="0" borderId="1" xfId="1" applyNumberFormat="1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top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justify" vertical="top" wrapText="1"/>
    </xf>
    <xf numFmtId="0" fontId="7" fillId="2" borderId="1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justify" vertical="top" wrapText="1"/>
    </xf>
    <xf numFmtId="0" fontId="4" fillId="2" borderId="2" xfId="0" applyFont="1" applyFill="1" applyBorder="1" applyAlignment="1">
      <alignment horizontal="left" indent="2"/>
    </xf>
    <xf numFmtId="0" fontId="7" fillId="2" borderId="22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indent="1"/>
    </xf>
    <xf numFmtId="0" fontId="7" fillId="2" borderId="24" xfId="0" applyFont="1" applyFill="1" applyBorder="1" applyAlignment="1">
      <alignment horizontal="left" indent="1"/>
    </xf>
    <xf numFmtId="0" fontId="7" fillId="2" borderId="16" xfId="0" applyFont="1" applyFill="1" applyBorder="1" applyAlignment="1">
      <alignment horizontal="left" indent="1"/>
    </xf>
    <xf numFmtId="0" fontId="7" fillId="2" borderId="25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left" indent="1"/>
    </xf>
    <xf numFmtId="0" fontId="7" fillId="2" borderId="4" xfId="0" applyFont="1" applyFill="1" applyBorder="1" applyAlignment="1">
      <alignment horizontal="left" indent="1"/>
    </xf>
    <xf numFmtId="0" fontId="7" fillId="2" borderId="3" xfId="0" applyFont="1" applyFill="1" applyBorder="1" applyAlignment="1">
      <alignment horizontal="left" indent="1"/>
    </xf>
    <xf numFmtId="0" fontId="7" fillId="2" borderId="26" xfId="0" applyFont="1" applyFill="1" applyBorder="1" applyAlignment="1">
      <alignment horizontal="left" indent="1"/>
    </xf>
    <xf numFmtId="0" fontId="7" fillId="2" borderId="25" xfId="0" applyFont="1" applyFill="1" applyBorder="1" applyAlignment="1">
      <alignment horizontal="left" indent="1"/>
    </xf>
    <xf numFmtId="0" fontId="7" fillId="2" borderId="27" xfId="0" applyFont="1" applyFill="1" applyBorder="1" applyAlignment="1">
      <alignment horizontal="left" indent="1"/>
    </xf>
    <xf numFmtId="0" fontId="4" fillId="5" borderId="2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3" fontId="7" fillId="3" borderId="1" xfId="0" applyNumberFormat="1" applyFont="1" applyFill="1" applyBorder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left"/>
      <protection locked="0"/>
    </xf>
    <xf numFmtId="0" fontId="7" fillId="3" borderId="8" xfId="0" applyFont="1" applyFill="1" applyBorder="1" applyProtection="1">
      <protection locked="0"/>
    </xf>
    <xf numFmtId="0" fontId="7" fillId="3" borderId="3" xfId="0" applyFont="1" applyFill="1" applyBorder="1" applyProtection="1">
      <protection locked="0"/>
    </xf>
    <xf numFmtId="0" fontId="5" fillId="0" borderId="2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wrapText="1"/>
    </xf>
    <xf numFmtId="0" fontId="21" fillId="4" borderId="28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2" fillId="5" borderId="28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indent="1"/>
    </xf>
    <xf numFmtId="0" fontId="8" fillId="2" borderId="3" xfId="0" applyFont="1" applyFill="1" applyBorder="1" applyAlignment="1">
      <alignment horizontal="left" inden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justify" vertical="top" wrapText="1"/>
    </xf>
    <xf numFmtId="0" fontId="16" fillId="2" borderId="0" xfId="0" applyFont="1" applyFill="1" applyAlignment="1">
      <alignment horizontal="left"/>
    </xf>
    <xf numFmtId="0" fontId="8" fillId="2" borderId="2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6" fillId="2" borderId="0" xfId="0" applyFont="1" applyFill="1" applyAlignment="1">
      <alignment horizontal="justify"/>
    </xf>
    <xf numFmtId="0" fontId="9" fillId="4" borderId="2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29" xfId="0" applyFont="1" applyFill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left" indent="1"/>
    </xf>
    <xf numFmtId="0" fontId="8" fillId="2" borderId="5" xfId="0" applyFont="1" applyFill="1" applyBorder="1" applyAlignment="1">
      <alignment horizontal="left" indent="1"/>
    </xf>
    <xf numFmtId="0" fontId="12" fillId="5" borderId="30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165" fontId="13" fillId="2" borderId="31" xfId="0" applyNumberFormat="1" applyFont="1" applyFill="1" applyBorder="1" applyAlignment="1">
      <alignment horizontal="center" wrapText="1"/>
    </xf>
    <xf numFmtId="165" fontId="13" fillId="2" borderId="0" xfId="0" applyNumberFormat="1" applyFont="1" applyFill="1" applyAlignment="1">
      <alignment horizontal="center" wrapText="1"/>
    </xf>
    <xf numFmtId="0" fontId="13" fillId="2" borderId="0" xfId="0" applyFont="1" applyFill="1" applyAlignment="1">
      <alignment horizontal="justify" vertical="top" wrapText="1"/>
    </xf>
    <xf numFmtId="0" fontId="11" fillId="2" borderId="32" xfId="0" applyFont="1" applyFill="1" applyBorder="1" applyAlignment="1">
      <alignment horizontal="left" indent="2"/>
    </xf>
    <xf numFmtId="0" fontId="11" fillId="2" borderId="33" xfId="0" applyFont="1" applyFill="1" applyBorder="1" applyAlignment="1">
      <alignment horizontal="left" indent="2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0" fillId="2" borderId="0" xfId="0" applyFont="1" applyFill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21" fillId="4" borderId="17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12" xfId="0" applyFont="1" applyFill="1" applyBorder="1" applyAlignment="1">
      <alignment horizontal="center" vertical="center"/>
    </xf>
    <xf numFmtId="0" fontId="21" fillId="4" borderId="34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4" borderId="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6">
    <dxf>
      <font>
        <condense val="0"/>
        <extend val="0"/>
        <color indexed="9"/>
      </font>
    </dxf>
    <dxf>
      <font>
        <color rgb="FFFF0000"/>
      </font>
    </dxf>
    <dxf>
      <font>
        <color theme="0"/>
      </font>
      <fill>
        <patternFill>
          <bgColor theme="0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3:Q69"/>
  <sheetViews>
    <sheetView topLeftCell="A10" workbookViewId="0">
      <selection activeCell="G34" sqref="G34"/>
    </sheetView>
  </sheetViews>
  <sheetFormatPr defaultColWidth="9.140625" defaultRowHeight="12.75" x14ac:dyDescent="0.2"/>
  <cols>
    <col min="1" max="1" width="2.28515625" style="1" customWidth="1"/>
    <col min="2" max="3" width="6" style="11" customWidth="1"/>
    <col min="4" max="4" width="10.42578125" style="11" customWidth="1"/>
    <col min="5" max="5" width="20.140625" style="11" customWidth="1"/>
    <col min="6" max="6" width="29.85546875" style="11" customWidth="1"/>
    <col min="7" max="7" width="32.85546875" style="11" customWidth="1"/>
    <col min="8" max="8" width="18.140625" style="45" customWidth="1"/>
    <col min="9" max="9" width="9.140625" style="11" hidden="1" customWidth="1"/>
    <col min="10" max="10" width="2.7109375" style="11" hidden="1" customWidth="1"/>
    <col min="11" max="13" width="9.140625" style="11" hidden="1" customWidth="1"/>
    <col min="14" max="14" width="32.140625" style="11" customWidth="1"/>
    <col min="15" max="15" width="9.140625" style="11"/>
    <col min="16" max="16" width="8.85546875" style="11" customWidth="1"/>
    <col min="17" max="17" width="6.28515625" style="11" customWidth="1"/>
    <col min="18" max="18" width="7.7109375" style="11" customWidth="1"/>
    <col min="19" max="16384" width="9.140625" style="11"/>
  </cols>
  <sheetData>
    <row r="3" spans="2:13" x14ac:dyDescent="0.2">
      <c r="B3" s="12" t="s">
        <v>83</v>
      </c>
    </row>
    <row r="4" spans="2:13" x14ac:dyDescent="0.2">
      <c r="B4" s="12"/>
    </row>
    <row r="5" spans="2:13" x14ac:dyDescent="0.2">
      <c r="F5" s="45"/>
      <c r="I5" s="11" t="s">
        <v>94</v>
      </c>
    </row>
    <row r="6" spans="2:13" x14ac:dyDescent="0.2">
      <c r="B6" s="9" t="s">
        <v>96</v>
      </c>
      <c r="E6" s="68" t="s">
        <v>95</v>
      </c>
      <c r="F6" s="67" t="s">
        <v>171</v>
      </c>
      <c r="H6" s="11"/>
    </row>
    <row r="7" spans="2:13" x14ac:dyDescent="0.2">
      <c r="B7" s="9" t="s">
        <v>80</v>
      </c>
      <c r="E7" s="106" t="s">
        <v>164</v>
      </c>
      <c r="F7" s="107"/>
      <c r="H7" s="11"/>
    </row>
    <row r="8" spans="2:13" x14ac:dyDescent="0.2">
      <c r="B8" s="9" t="s">
        <v>81</v>
      </c>
      <c r="E8" s="106" t="s">
        <v>175</v>
      </c>
      <c r="F8" s="107"/>
      <c r="H8" s="11"/>
    </row>
    <row r="9" spans="2:13" x14ac:dyDescent="0.2">
      <c r="B9" s="9" t="s">
        <v>82</v>
      </c>
      <c r="E9" s="106" t="s">
        <v>76</v>
      </c>
      <c r="F9" s="107"/>
      <c r="H9" s="11"/>
    </row>
    <row r="10" spans="2:13" x14ac:dyDescent="0.2">
      <c r="B10" s="9"/>
      <c r="H10" s="11"/>
    </row>
    <row r="11" spans="2:13" x14ac:dyDescent="0.2">
      <c r="B11" s="9" t="s">
        <v>84</v>
      </c>
      <c r="E11" s="104" t="s">
        <v>172</v>
      </c>
      <c r="F11" s="104"/>
      <c r="H11" s="11"/>
    </row>
    <row r="12" spans="2:13" x14ac:dyDescent="0.2">
      <c r="B12" s="105" t="s">
        <v>174</v>
      </c>
      <c r="C12" s="105"/>
      <c r="D12" s="105"/>
      <c r="E12" s="103" t="s">
        <v>173</v>
      </c>
      <c r="F12" s="104"/>
      <c r="H12" s="11"/>
    </row>
    <row r="13" spans="2:13" x14ac:dyDescent="0.2">
      <c r="H13" s="11"/>
    </row>
    <row r="14" spans="2:13" x14ac:dyDescent="0.2">
      <c r="B14" s="9" t="s">
        <v>98</v>
      </c>
      <c r="E14" s="104" t="s">
        <v>97</v>
      </c>
      <c r="F14" s="104"/>
      <c r="H14" s="11"/>
      <c r="L14" s="11" t="s">
        <v>76</v>
      </c>
      <c r="M14" s="11" t="s">
        <v>73</v>
      </c>
    </row>
    <row r="15" spans="2:13" x14ac:dyDescent="0.2">
      <c r="B15" s="9"/>
      <c r="E15" s="9"/>
      <c r="H15" s="11"/>
    </row>
    <row r="16" spans="2:13" x14ac:dyDescent="0.2">
      <c r="B16" s="9" t="s">
        <v>89</v>
      </c>
      <c r="E16" s="47">
        <v>3</v>
      </c>
      <c r="F16" s="11" t="s">
        <v>71</v>
      </c>
      <c r="H16" s="11"/>
    </row>
    <row r="17" spans="2:17" x14ac:dyDescent="0.2">
      <c r="B17" s="9" t="s">
        <v>87</v>
      </c>
      <c r="E17" s="106" t="s">
        <v>75</v>
      </c>
      <c r="F17" s="107"/>
      <c r="H17" s="11"/>
      <c r="L17" s="11" t="s">
        <v>72</v>
      </c>
      <c r="M17" s="11" t="s">
        <v>75</v>
      </c>
    </row>
    <row r="18" spans="2:17" ht="12.75" customHeight="1" x14ac:dyDescent="0.2">
      <c r="B18" s="112" t="s">
        <v>86</v>
      </c>
      <c r="C18" s="112"/>
      <c r="D18" s="112"/>
      <c r="E18" s="14">
        <v>44.82</v>
      </c>
      <c r="F18" s="11" t="s">
        <v>71</v>
      </c>
      <c r="H18" s="11"/>
    </row>
    <row r="19" spans="2:17" x14ac:dyDescent="0.2">
      <c r="B19" s="112"/>
      <c r="C19" s="112"/>
      <c r="D19" s="112"/>
    </row>
    <row r="20" spans="2:17" ht="5.25" customHeight="1" x14ac:dyDescent="0.2">
      <c r="B20" s="112"/>
      <c r="C20" s="112"/>
      <c r="D20" s="112"/>
    </row>
    <row r="21" spans="2:17" ht="5.25" customHeight="1" x14ac:dyDescent="0.2">
      <c r="B21" s="112"/>
      <c r="C21" s="112"/>
      <c r="D21" s="112"/>
    </row>
    <row r="22" spans="2:17" ht="5.25" customHeight="1" x14ac:dyDescent="0.2"/>
    <row r="23" spans="2:17" ht="5.25" customHeight="1" thickBot="1" x14ac:dyDescent="0.25"/>
    <row r="24" spans="2:17" ht="16.5" thickBot="1" x14ac:dyDescent="0.3">
      <c r="B24" s="113" t="s">
        <v>20</v>
      </c>
      <c r="C24" s="114"/>
      <c r="D24" s="114"/>
      <c r="E24" s="114"/>
      <c r="F24" s="114"/>
      <c r="G24" s="114"/>
      <c r="H24" s="114"/>
      <c r="I24" s="115"/>
    </row>
    <row r="25" spans="2:17" ht="6" customHeight="1" thickBot="1" x14ac:dyDescent="0.25"/>
    <row r="26" spans="2:17" ht="26.25" customHeight="1" thickBot="1" x14ac:dyDescent="0.25">
      <c r="B26" s="108" t="s">
        <v>65</v>
      </c>
      <c r="C26" s="109"/>
      <c r="D26" s="110" t="s">
        <v>32</v>
      </c>
      <c r="E26" s="110"/>
      <c r="F26" s="110"/>
      <c r="G26" s="110"/>
      <c r="H26" s="110"/>
      <c r="I26" s="111"/>
    </row>
    <row r="27" spans="2:17" ht="5.25" customHeight="1" thickBot="1" x14ac:dyDescent="0.25"/>
    <row r="28" spans="2:17" ht="13.5" thickBot="1" x14ac:dyDescent="0.25">
      <c r="B28" s="101" t="s">
        <v>9</v>
      </c>
      <c r="C28" s="102"/>
      <c r="D28" s="102"/>
      <c r="E28" s="102"/>
      <c r="F28" s="102"/>
      <c r="G28" s="48" t="s">
        <v>8</v>
      </c>
      <c r="H28" s="48" t="s">
        <v>66</v>
      </c>
      <c r="I28" s="49" t="s">
        <v>5</v>
      </c>
      <c r="M28" s="11" t="s">
        <v>32</v>
      </c>
      <c r="P28" s="11" t="s">
        <v>58</v>
      </c>
      <c r="Q28" s="11" t="s">
        <v>5</v>
      </c>
    </row>
    <row r="29" spans="2:17" x14ac:dyDescent="0.2">
      <c r="B29" s="50" t="s">
        <v>10</v>
      </c>
      <c r="C29" s="95" t="s">
        <v>0</v>
      </c>
      <c r="D29" s="96"/>
      <c r="E29" s="96"/>
      <c r="F29" s="97"/>
      <c r="G29" s="32">
        <v>4.5</v>
      </c>
      <c r="H29" s="51">
        <f>VLOOKUP(J29,$O$29:$Q$69,2,FALSE)</f>
        <v>3</v>
      </c>
      <c r="I29" s="51">
        <f>VLOOKUP(J29,$O$29:$Q$69,3,FALSE)</f>
        <v>5.5</v>
      </c>
      <c r="J29" s="11" t="str">
        <f>CONCATENATE(LEFT($D$26,1),"a")</f>
        <v>1a</v>
      </c>
      <c r="K29" s="11">
        <v>0</v>
      </c>
      <c r="L29" s="11">
        <f>IF($G$46&gt;$I$46,I29,10000)</f>
        <v>10000</v>
      </c>
      <c r="M29" s="11" t="s">
        <v>33</v>
      </c>
      <c r="O29" s="11" t="s">
        <v>22</v>
      </c>
      <c r="P29" s="46">
        <v>3</v>
      </c>
      <c r="Q29" s="46">
        <v>5.5</v>
      </c>
    </row>
    <row r="30" spans="2:17" x14ac:dyDescent="0.2">
      <c r="B30" s="52" t="s">
        <v>11</v>
      </c>
      <c r="C30" s="92" t="s">
        <v>1</v>
      </c>
      <c r="D30" s="93"/>
      <c r="E30" s="93"/>
      <c r="F30" s="94"/>
      <c r="G30" s="32">
        <v>0.9</v>
      </c>
      <c r="H30" s="51">
        <f>VLOOKUP(J30,$O$29:$Q$69,2,FALSE)</f>
        <v>0.8</v>
      </c>
      <c r="I30" s="51">
        <f>VLOOKUP(J30,$O$29:$Q$69,3,FALSE)</f>
        <v>1</v>
      </c>
      <c r="J30" s="11" t="str">
        <f>CONCATENATE(LEFT($D$26,1),"b")</f>
        <v>1b</v>
      </c>
      <c r="K30" s="11">
        <v>0</v>
      </c>
      <c r="L30" s="11">
        <f>IF($G$46&gt;$I$46,I30,10000)</f>
        <v>10000</v>
      </c>
      <c r="M30" s="11" t="s">
        <v>34</v>
      </c>
      <c r="O30" s="11" t="s">
        <v>23</v>
      </c>
      <c r="P30" s="46">
        <v>0.8</v>
      </c>
      <c r="Q30" s="46">
        <v>1</v>
      </c>
    </row>
    <row r="31" spans="2:17" x14ac:dyDescent="0.2">
      <c r="B31" s="52" t="s">
        <v>12</v>
      </c>
      <c r="C31" s="92" t="s">
        <v>2</v>
      </c>
      <c r="D31" s="93"/>
      <c r="E31" s="93"/>
      <c r="F31" s="94"/>
      <c r="G31" s="32">
        <v>1</v>
      </c>
      <c r="H31" s="51">
        <f>VLOOKUP(J31,$O$29:$Q$69,2,FALSE)</f>
        <v>0.97</v>
      </c>
      <c r="I31" s="51">
        <f>VLOOKUP(J31,$O$29:$Q$69,3,FALSE)</f>
        <v>1.27</v>
      </c>
      <c r="J31" s="11" t="str">
        <f>CONCATENATE(LEFT($D$26,1),"c")</f>
        <v>1c</v>
      </c>
      <c r="K31" s="11">
        <v>0</v>
      </c>
      <c r="L31" s="11">
        <f>IF($G$46&gt;$I$46,I31,10000)</f>
        <v>10000</v>
      </c>
      <c r="M31" s="11" t="s">
        <v>35</v>
      </c>
      <c r="O31" s="11" t="s">
        <v>24</v>
      </c>
      <c r="P31" s="46">
        <v>0.97</v>
      </c>
      <c r="Q31" s="46">
        <v>1.27</v>
      </c>
    </row>
    <row r="32" spans="2:17" x14ac:dyDescent="0.2">
      <c r="B32" s="52" t="s">
        <v>13</v>
      </c>
      <c r="C32" s="92" t="s">
        <v>85</v>
      </c>
      <c r="D32" s="93"/>
      <c r="E32" s="93"/>
      <c r="F32" s="94"/>
      <c r="G32" s="32">
        <v>0.8</v>
      </c>
      <c r="H32" s="51">
        <f>VLOOKUP(J32,$O$29:$Q$69,2,FALSE)</f>
        <v>0.59</v>
      </c>
      <c r="I32" s="51">
        <f>VLOOKUP(J32,$O$29:$Q$69,3,FALSE)</f>
        <v>1.39</v>
      </c>
      <c r="J32" s="11" t="str">
        <f>CONCATENATE(LEFT($D$26,1),"d")</f>
        <v>1d</v>
      </c>
      <c r="K32" s="11">
        <v>0</v>
      </c>
      <c r="L32" s="11">
        <f>IF($G$46&gt;$I$46,I32,10000)</f>
        <v>10000</v>
      </c>
      <c r="M32" s="11" t="s">
        <v>36</v>
      </c>
      <c r="O32" s="11" t="s">
        <v>25</v>
      </c>
      <c r="P32" s="46">
        <v>0.59</v>
      </c>
      <c r="Q32" s="46">
        <v>1.39</v>
      </c>
    </row>
    <row r="33" spans="2:17" x14ac:dyDescent="0.2">
      <c r="B33" s="52" t="s">
        <v>14</v>
      </c>
      <c r="C33" s="92" t="s">
        <v>4</v>
      </c>
      <c r="D33" s="93"/>
      <c r="E33" s="93"/>
      <c r="F33" s="94"/>
      <c r="G33" s="32">
        <v>6.61</v>
      </c>
      <c r="H33" s="51">
        <f>VLOOKUP(J33,$O$29:$Q$69,2,FALSE)</f>
        <v>6.16</v>
      </c>
      <c r="I33" s="51">
        <f>VLOOKUP(J33,$O$29:$Q$69,3,FALSE)</f>
        <v>8.9600000000000009</v>
      </c>
      <c r="J33" s="11" t="str">
        <f>CONCATENATE(LEFT($D$26,1),"e")</f>
        <v>1e</v>
      </c>
      <c r="K33" s="11">
        <v>0</v>
      </c>
      <c r="L33" s="11">
        <f>IF($G$46&gt;$I$46,I33,10000)</f>
        <v>10000</v>
      </c>
      <c r="M33" s="11" t="s">
        <v>37</v>
      </c>
      <c r="O33" s="11" t="s">
        <v>26</v>
      </c>
      <c r="P33" s="46">
        <v>6.16</v>
      </c>
      <c r="Q33" s="46">
        <v>8.9600000000000009</v>
      </c>
    </row>
    <row r="34" spans="2:17" x14ac:dyDescent="0.2">
      <c r="B34" s="52" t="s">
        <v>15</v>
      </c>
      <c r="C34" s="86" t="s">
        <v>67</v>
      </c>
      <c r="D34" s="87"/>
      <c r="E34" s="87"/>
      <c r="F34" s="88"/>
      <c r="G34" s="53">
        <f>G35+G36+G37</f>
        <v>4.9946000000000002</v>
      </c>
      <c r="H34" s="71" t="s">
        <v>6</v>
      </c>
      <c r="I34" s="72"/>
      <c r="O34" s="11" t="s">
        <v>27</v>
      </c>
      <c r="P34" s="46">
        <v>3.8</v>
      </c>
      <c r="Q34" s="46">
        <v>4.67</v>
      </c>
    </row>
    <row r="35" spans="2:17" x14ac:dyDescent="0.2">
      <c r="B35" s="52"/>
      <c r="C35" s="44"/>
      <c r="D35" s="10" t="s">
        <v>69</v>
      </c>
      <c r="E35" s="10"/>
      <c r="F35" s="54"/>
      <c r="G35" s="32">
        <v>0.65</v>
      </c>
      <c r="H35" s="73"/>
      <c r="I35" s="74"/>
      <c r="K35" s="11">
        <v>0</v>
      </c>
      <c r="L35" s="11">
        <f>IF($G$46&gt;$I$46,3,10000)</f>
        <v>10000</v>
      </c>
      <c r="P35" s="46"/>
      <c r="Q35" s="46"/>
    </row>
    <row r="36" spans="2:17" x14ac:dyDescent="0.2">
      <c r="B36" s="52"/>
      <c r="C36" s="55"/>
      <c r="D36" s="13" t="s">
        <v>68</v>
      </c>
      <c r="E36" s="55"/>
      <c r="F36" s="56"/>
      <c r="G36" s="32">
        <v>3</v>
      </c>
      <c r="H36" s="73"/>
      <c r="I36" s="74"/>
      <c r="K36" s="11">
        <v>0</v>
      </c>
      <c r="L36" s="11">
        <f>IF($G$46&gt;$I$46,0.65,10000)</f>
        <v>10000</v>
      </c>
      <c r="P36" s="46"/>
      <c r="Q36" s="46"/>
    </row>
    <row r="37" spans="2:17" x14ac:dyDescent="0.2">
      <c r="B37" s="52"/>
      <c r="C37" s="44"/>
      <c r="D37" s="7" t="s">
        <v>92</v>
      </c>
      <c r="E37" s="44"/>
      <c r="F37" s="54"/>
      <c r="G37" s="53">
        <f>IF(E17="valor total da obra",$E$16,$E$16*$E$18/100)</f>
        <v>1.3446</v>
      </c>
      <c r="H37" s="73"/>
      <c r="I37" s="74"/>
      <c r="P37" s="46"/>
      <c r="Q37" s="46"/>
    </row>
    <row r="38" spans="2:17" x14ac:dyDescent="0.2">
      <c r="B38" s="52"/>
      <c r="C38" s="44"/>
      <c r="D38" s="7" t="s">
        <v>79</v>
      </c>
      <c r="E38" s="44"/>
      <c r="F38" s="54"/>
      <c r="G38" s="53" t="str">
        <f>IF(E9="desonerados",4.5,"0")</f>
        <v>0</v>
      </c>
      <c r="H38" s="73"/>
      <c r="I38" s="74"/>
      <c r="P38" s="46"/>
      <c r="Q38" s="46"/>
    </row>
    <row r="39" spans="2:17" x14ac:dyDescent="0.2">
      <c r="B39" s="52" t="s">
        <v>15</v>
      </c>
      <c r="C39" s="92" t="s">
        <v>70</v>
      </c>
      <c r="D39" s="93"/>
      <c r="E39" s="93"/>
      <c r="F39" s="94"/>
      <c r="G39" s="53">
        <f>IF(E9="desonerados",SUM(G35:G38),G34)</f>
        <v>4.9946000000000002</v>
      </c>
      <c r="H39" s="75"/>
      <c r="I39" s="76"/>
      <c r="O39" s="11" t="s">
        <v>28</v>
      </c>
      <c r="P39" s="46">
        <v>0.32</v>
      </c>
      <c r="Q39" s="46">
        <v>0.74</v>
      </c>
    </row>
    <row r="40" spans="2:17" ht="4.5" customHeight="1" thickBot="1" x14ac:dyDescent="0.25">
      <c r="O40" s="11" t="s">
        <v>29</v>
      </c>
      <c r="P40" s="46">
        <v>0.5</v>
      </c>
      <c r="Q40" s="46">
        <v>0.97</v>
      </c>
    </row>
    <row r="41" spans="2:17" ht="13.5" thickBot="1" x14ac:dyDescent="0.25">
      <c r="B41" s="98" t="s">
        <v>19</v>
      </c>
      <c r="C41" s="99"/>
      <c r="D41" s="99"/>
      <c r="E41" s="99"/>
      <c r="F41" s="99"/>
      <c r="G41" s="100"/>
      <c r="H41" s="57"/>
      <c r="O41" s="11" t="s">
        <v>30</v>
      </c>
      <c r="P41" s="46">
        <v>1.02</v>
      </c>
      <c r="Q41" s="46">
        <v>1.21</v>
      </c>
    </row>
    <row r="42" spans="2:17" ht="22.5" customHeight="1" x14ac:dyDescent="0.2">
      <c r="B42" s="80"/>
      <c r="C42" s="78" t="s">
        <v>17</v>
      </c>
      <c r="D42" s="89" t="s">
        <v>18</v>
      </c>
      <c r="E42" s="89"/>
      <c r="F42" s="89"/>
      <c r="G42" s="84">
        <v>-1</v>
      </c>
      <c r="O42" s="11" t="s">
        <v>31</v>
      </c>
      <c r="P42" s="46">
        <v>6.64</v>
      </c>
      <c r="Q42" s="46">
        <v>8.69</v>
      </c>
    </row>
    <row r="43" spans="2:17" ht="21" customHeight="1" thickBot="1" x14ac:dyDescent="0.25">
      <c r="B43" s="81"/>
      <c r="C43" s="79"/>
      <c r="D43" s="70" t="s">
        <v>16</v>
      </c>
      <c r="E43" s="70"/>
      <c r="F43" s="70"/>
      <c r="G43" s="85"/>
      <c r="O43" s="11" t="s">
        <v>38</v>
      </c>
      <c r="P43" s="46">
        <v>3.43</v>
      </c>
      <c r="Q43" s="46">
        <v>6.71</v>
      </c>
    </row>
    <row r="44" spans="2:17" ht="3" customHeight="1" thickBot="1" x14ac:dyDescent="0.25">
      <c r="O44" s="11" t="s">
        <v>39</v>
      </c>
      <c r="P44" s="46">
        <v>0.28000000000000003</v>
      </c>
      <c r="Q44" s="46">
        <v>0.75</v>
      </c>
    </row>
    <row r="45" spans="2:17" ht="15" customHeight="1" thickBot="1" x14ac:dyDescent="0.25">
      <c r="B45" s="90" t="s">
        <v>21</v>
      </c>
      <c r="C45" s="91"/>
      <c r="D45" s="91"/>
      <c r="E45" s="91"/>
      <c r="F45" s="91"/>
      <c r="G45" s="91"/>
      <c r="H45" s="58" t="s">
        <v>66</v>
      </c>
      <c r="I45" s="59" t="s">
        <v>5</v>
      </c>
      <c r="O45" s="11" t="s">
        <v>40</v>
      </c>
      <c r="P45" s="46">
        <v>1</v>
      </c>
      <c r="Q45" s="46">
        <v>1.74</v>
      </c>
    </row>
    <row r="46" spans="2:17" ht="15" x14ac:dyDescent="0.2">
      <c r="B46" s="83" t="str">
        <f>IF(G46&gt;I46,"BDI Sem Desoneração: ! FORA DOS LIMITES !",IF(G46&lt;H46,"BDI Sem Desoneração: ! FORA DOS LIMITES !","BDI Sem Desoneração:"))</f>
        <v>BDI Sem Desoneração:</v>
      </c>
      <c r="C46" s="83"/>
      <c r="D46" s="83"/>
      <c r="E46" s="83"/>
      <c r="F46" s="83"/>
      <c r="G46" s="5">
        <f>100*ROUND((((1+G29/100+G30/100+G31/100)*(1+G32/100)*(1+G33/100))/(1-G34/100))-1,4)</f>
        <v>20.349999999999998</v>
      </c>
      <c r="H46" s="51">
        <f>VLOOKUP(J46,$O$29:$Q$69,2,FALSE)</f>
        <v>20.34</v>
      </c>
      <c r="I46" s="51">
        <f>VLOOKUP(J46,$O$29:$Q$69,3,FALSE)</f>
        <v>25</v>
      </c>
      <c r="J46" s="11" t="str">
        <f>CONCATENATE(LEFT($D$26,1),"F")</f>
        <v>1F</v>
      </c>
      <c r="O46" s="11" t="s">
        <v>41</v>
      </c>
      <c r="P46" s="46">
        <v>0.94</v>
      </c>
      <c r="Q46" s="46">
        <v>1.17</v>
      </c>
    </row>
    <row r="47" spans="2:17" ht="15" x14ac:dyDescent="0.2">
      <c r="B47" s="83" t="s">
        <v>7</v>
      </c>
      <c r="C47" s="83"/>
      <c r="D47" s="83"/>
      <c r="E47" s="83"/>
      <c r="F47" s="83"/>
      <c r="G47" s="4">
        <f>100*ROUND((((1+G29/100+G30/100+G31/100)*(1+G32/100)*(1+G33/100))/(1-G39/100))-1,4)</f>
        <v>20.349999999999998</v>
      </c>
      <c r="H47" s="51"/>
      <c r="I47" s="51"/>
      <c r="J47" s="11">
        <f>IF(G46&gt;I46,1,IF(G46&lt;H46,1,0))</f>
        <v>0</v>
      </c>
      <c r="O47" s="11" t="s">
        <v>42</v>
      </c>
      <c r="P47" s="46">
        <v>6.74</v>
      </c>
      <c r="Q47" s="46">
        <v>9.4</v>
      </c>
    </row>
    <row r="48" spans="2:17" ht="9" customHeight="1" x14ac:dyDescent="0.2">
      <c r="B48" s="33"/>
      <c r="C48" s="33"/>
      <c r="D48" s="33"/>
      <c r="E48" s="33"/>
      <c r="F48" s="33"/>
      <c r="G48" s="34"/>
      <c r="I48" s="45"/>
      <c r="P48" s="46"/>
      <c r="Q48" s="46"/>
    </row>
    <row r="49" spans="2:17" ht="71.25" customHeight="1" x14ac:dyDescent="0.2">
      <c r="B49" s="82" t="s">
        <v>93</v>
      </c>
      <c r="C49" s="82"/>
      <c r="D49" s="82"/>
      <c r="E49" s="82"/>
      <c r="F49" s="82"/>
      <c r="G49" s="82"/>
      <c r="H49" s="82"/>
      <c r="I49" s="82"/>
      <c r="P49" s="46"/>
      <c r="Q49" s="46"/>
    </row>
    <row r="50" spans="2:17" ht="46.5" customHeight="1" x14ac:dyDescent="0.2">
      <c r="B50" s="77" t="s">
        <v>91</v>
      </c>
      <c r="C50" s="77"/>
      <c r="D50" s="77"/>
      <c r="E50" s="77"/>
      <c r="F50" s="77"/>
      <c r="G50" s="77"/>
      <c r="H50" s="77"/>
      <c r="I50" s="77"/>
      <c r="O50" s="11" t="s">
        <v>44</v>
      </c>
      <c r="P50" s="46">
        <v>0.25</v>
      </c>
      <c r="Q50" s="46">
        <v>0.56000000000000005</v>
      </c>
    </row>
    <row r="51" spans="2:17" ht="11.25" customHeight="1" x14ac:dyDescent="0.2">
      <c r="B51" s="69" t="s">
        <v>88</v>
      </c>
      <c r="C51" s="69"/>
      <c r="D51" s="69"/>
      <c r="E51" s="69"/>
      <c r="F51" s="69"/>
      <c r="G51" s="69"/>
      <c r="H51" s="69"/>
      <c r="I51" s="69"/>
      <c r="O51" s="11" t="s">
        <v>45</v>
      </c>
      <c r="P51" s="46">
        <v>1</v>
      </c>
      <c r="Q51" s="46">
        <v>1.97</v>
      </c>
    </row>
    <row r="52" spans="2:17" ht="15.75" customHeight="1" x14ac:dyDescent="0.2">
      <c r="B52" s="69"/>
      <c r="C52" s="69"/>
      <c r="D52" s="69"/>
      <c r="E52" s="69"/>
      <c r="F52" s="69"/>
      <c r="G52" s="69"/>
      <c r="H52" s="69"/>
      <c r="I52" s="69"/>
      <c r="O52" s="11" t="s">
        <v>46</v>
      </c>
      <c r="P52" s="46">
        <v>1.01</v>
      </c>
      <c r="Q52" s="46">
        <v>1.1100000000000001</v>
      </c>
    </row>
    <row r="53" spans="2:17" ht="68.25" customHeight="1" x14ac:dyDescent="0.2">
      <c r="O53" s="11" t="s">
        <v>47</v>
      </c>
      <c r="P53" s="46">
        <v>8</v>
      </c>
      <c r="Q53" s="46">
        <v>9.51</v>
      </c>
    </row>
    <row r="54" spans="2:17" ht="68.25" customHeight="1" x14ac:dyDescent="0.2">
      <c r="O54" s="11" t="s">
        <v>48</v>
      </c>
      <c r="P54" s="46">
        <v>4</v>
      </c>
      <c r="Q54" s="46">
        <v>7.85</v>
      </c>
    </row>
    <row r="55" spans="2:17" x14ac:dyDescent="0.2">
      <c r="O55" s="11" t="s">
        <v>49</v>
      </c>
      <c r="P55" s="46">
        <v>0.81</v>
      </c>
      <c r="Q55" s="46">
        <v>1.99</v>
      </c>
    </row>
    <row r="56" spans="2:17" x14ac:dyDescent="0.2">
      <c r="O56" s="11" t="s">
        <v>50</v>
      </c>
      <c r="P56" s="46">
        <v>1.46</v>
      </c>
      <c r="Q56" s="46">
        <v>3.16</v>
      </c>
    </row>
    <row r="57" spans="2:17" x14ac:dyDescent="0.2">
      <c r="O57" s="11" t="s">
        <v>51</v>
      </c>
      <c r="P57" s="46">
        <v>0.94</v>
      </c>
      <c r="Q57" s="46">
        <v>1.33</v>
      </c>
    </row>
    <row r="58" spans="2:17" x14ac:dyDescent="0.2">
      <c r="O58" s="11" t="s">
        <v>52</v>
      </c>
      <c r="P58" s="46">
        <v>7.14</v>
      </c>
      <c r="Q58" s="46">
        <v>10.43</v>
      </c>
    </row>
    <row r="59" spans="2:17" x14ac:dyDescent="0.2">
      <c r="O59" s="11" t="s">
        <v>53</v>
      </c>
      <c r="P59" s="46">
        <v>1.5</v>
      </c>
      <c r="Q59" s="46">
        <v>4.49</v>
      </c>
    </row>
    <row r="60" spans="2:17" x14ac:dyDescent="0.2">
      <c r="O60" s="11" t="s">
        <v>54</v>
      </c>
      <c r="P60" s="46">
        <v>0.3</v>
      </c>
      <c r="Q60" s="46">
        <v>0.82</v>
      </c>
    </row>
    <row r="61" spans="2:17" x14ac:dyDescent="0.2">
      <c r="O61" s="11" t="s">
        <v>55</v>
      </c>
      <c r="P61" s="46">
        <v>0.56000000000000005</v>
      </c>
      <c r="Q61" s="46">
        <v>0.89</v>
      </c>
    </row>
    <row r="62" spans="2:17" x14ac:dyDescent="0.2">
      <c r="O62" s="11" t="s">
        <v>56</v>
      </c>
      <c r="P62" s="46">
        <v>0.85</v>
      </c>
      <c r="Q62" s="46">
        <v>1.1100000000000001</v>
      </c>
    </row>
    <row r="63" spans="2:17" x14ac:dyDescent="0.2">
      <c r="O63" s="11" t="s">
        <v>57</v>
      </c>
      <c r="P63" s="46">
        <v>3.5</v>
      </c>
      <c r="Q63" s="46">
        <v>6.22</v>
      </c>
    </row>
    <row r="64" spans="2:17" x14ac:dyDescent="0.2">
      <c r="O64" s="11" t="s">
        <v>59</v>
      </c>
      <c r="P64" s="46">
        <v>20.34</v>
      </c>
      <c r="Q64" s="46">
        <v>25</v>
      </c>
    </row>
    <row r="65" spans="15:17" x14ac:dyDescent="0.2">
      <c r="O65" s="11" t="s">
        <v>60</v>
      </c>
      <c r="P65" s="46">
        <v>19.600000000000001</v>
      </c>
      <c r="Q65" s="46">
        <v>24.23</v>
      </c>
    </row>
    <row r="66" spans="15:17" x14ac:dyDescent="0.2">
      <c r="O66" s="11" t="s">
        <v>61</v>
      </c>
      <c r="P66" s="46">
        <v>20.76</v>
      </c>
      <c r="Q66" s="46">
        <v>26.44</v>
      </c>
    </row>
    <row r="67" spans="15:17" x14ac:dyDescent="0.2">
      <c r="O67" s="11" t="s">
        <v>62</v>
      </c>
      <c r="P67" s="46">
        <v>24</v>
      </c>
      <c r="Q67" s="46">
        <v>27.86</v>
      </c>
    </row>
    <row r="68" spans="15:17" x14ac:dyDescent="0.2">
      <c r="O68" s="11" t="s">
        <v>63</v>
      </c>
      <c r="P68" s="46">
        <v>22.8</v>
      </c>
      <c r="Q68" s="46">
        <v>30.95</v>
      </c>
    </row>
    <row r="69" spans="15:17" x14ac:dyDescent="0.2">
      <c r="O69" s="11" t="s">
        <v>64</v>
      </c>
      <c r="P69" s="46">
        <v>11.1</v>
      </c>
      <c r="Q69" s="46">
        <v>16.8</v>
      </c>
    </row>
  </sheetData>
  <mergeCells count="33">
    <mergeCell ref="E11:F11"/>
    <mergeCell ref="D26:I26"/>
    <mergeCell ref="B18:D21"/>
    <mergeCell ref="E7:F7"/>
    <mergeCell ref="E8:F8"/>
    <mergeCell ref="E9:F9"/>
    <mergeCell ref="B24:I24"/>
    <mergeCell ref="B28:F28"/>
    <mergeCell ref="E12:F12"/>
    <mergeCell ref="B12:D12"/>
    <mergeCell ref="E17:F17"/>
    <mergeCell ref="B26:C26"/>
    <mergeCell ref="E14:F14"/>
    <mergeCell ref="C32:F32"/>
    <mergeCell ref="C29:F29"/>
    <mergeCell ref="C30:F30"/>
    <mergeCell ref="C31:F31"/>
    <mergeCell ref="B41:G41"/>
    <mergeCell ref="C33:F33"/>
    <mergeCell ref="C39:F39"/>
    <mergeCell ref="B51:I52"/>
    <mergeCell ref="D43:F43"/>
    <mergeCell ref="H34:I39"/>
    <mergeCell ref="B50:I50"/>
    <mergeCell ref="C42:C43"/>
    <mergeCell ref="B42:B43"/>
    <mergeCell ref="B49:I49"/>
    <mergeCell ref="B47:F47"/>
    <mergeCell ref="G42:G43"/>
    <mergeCell ref="C34:F34"/>
    <mergeCell ref="B46:F46"/>
    <mergeCell ref="D42:F42"/>
    <mergeCell ref="B45:G45"/>
  </mergeCells>
  <phoneticPr fontId="0" type="noConversion"/>
  <conditionalFormatting sqref="G29:G33 E16">
    <cfRule type="cellIs" dxfId="5" priority="9" stopIfTrue="1" operator="notBetween">
      <formula>$H16</formula>
      <formula>$I16</formula>
    </cfRule>
  </conditionalFormatting>
  <conditionalFormatting sqref="G46">
    <cfRule type="cellIs" dxfId="4" priority="10" stopIfTrue="1" operator="notBetween">
      <formula>$H$46</formula>
      <formula>$I$46</formula>
    </cfRule>
  </conditionalFormatting>
  <conditionalFormatting sqref="B46:F46">
    <cfRule type="expression" dxfId="3" priority="12" stopIfTrue="1">
      <formula>$J$47=1</formula>
    </cfRule>
  </conditionalFormatting>
  <conditionalFormatting sqref="E18 H18 B18">
    <cfRule type="expression" dxfId="2" priority="13" stopIfTrue="1">
      <formula>$E$17="valor total da obra"</formula>
    </cfRule>
  </conditionalFormatting>
  <conditionalFormatting sqref="B49:I49">
    <cfRule type="expression" dxfId="1" priority="1" stopIfTrue="1">
      <formula>$G$46&gt;$I$46</formula>
    </cfRule>
  </conditionalFormatting>
  <conditionalFormatting sqref="F5">
    <cfRule type="expression" dxfId="0" priority="19" stopIfTrue="1">
      <formula>$E$6=0</formula>
    </cfRule>
  </conditionalFormatting>
  <dataValidations count="8">
    <dataValidation type="decimal" allowBlank="1" showInputMessage="1" showErrorMessage="1" sqref="E16">
      <formula1>G16</formula1>
      <formula2>H16</formula2>
    </dataValidation>
    <dataValidation type="decimal" allowBlank="1" showInputMessage="1" showErrorMessage="1" error="O valor inserido está fora dos limites estabelecidos pelo acórdão 2622/2013 do TCU ou é inválido." sqref="G35:G36 G29:G33">
      <formula1>K29</formula1>
      <formula2>L29</formula2>
    </dataValidation>
    <dataValidation type="list" allowBlank="1" showInputMessage="1" showErrorMessage="1" sqref="D26">
      <formula1>$M$28:$M$33</formula1>
    </dataValidation>
    <dataValidation type="list" allowBlank="1" showInputMessage="1" showErrorMessage="1" sqref="E9">
      <formula1>ENCARGOS</formula1>
    </dataValidation>
    <dataValidation type="list" allowBlank="1" showInputMessage="1" showErrorMessage="1" sqref="E17">
      <formula1>BASEDECALCULO</formula1>
    </dataValidation>
    <dataValidation type="list" allowBlank="1" showInputMessage="1" showErrorMessage="1" sqref="B12:D12">
      <formula1>CREACAU</formula1>
    </dataValidation>
    <dataValidation type="list" allowBlank="1" showInputMessage="1" showErrorMessage="1" sqref="E6">
      <formula1>ente</formula1>
    </dataValidation>
    <dataValidation type="list" allowBlank="1" showInputMessage="1" showErrorMessage="1" sqref="E14">
      <formula1>regime</formula1>
    </dataValidation>
  </dataValidations>
  <pageMargins left="0.78740157480314965" right="0.78740157480314965" top="0.98425196850393704" bottom="0.98425196850393704" header="0.51181102362204722" footer="0.51181102362204722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S63"/>
  <sheetViews>
    <sheetView tabSelected="1" view="pageBreakPreview" topLeftCell="A7" zoomScale="130" zoomScaleNormal="130" zoomScaleSheetLayoutView="130" workbookViewId="0">
      <selection activeCell="B3" sqref="B3:G3"/>
    </sheetView>
  </sheetViews>
  <sheetFormatPr defaultColWidth="9.140625" defaultRowHeight="12.75" x14ac:dyDescent="0.2"/>
  <cols>
    <col min="1" max="1" width="2.7109375" style="1" customWidth="1"/>
    <col min="2" max="3" width="6" style="1" customWidth="1"/>
    <col min="4" max="4" width="34.7109375" style="1" customWidth="1"/>
    <col min="5" max="5" width="11.28515625" style="1" customWidth="1"/>
    <col min="6" max="6" width="11" style="2" customWidth="1"/>
    <col min="7" max="7" width="10.85546875" style="1" customWidth="1"/>
    <col min="8" max="8" width="1.42578125" style="1" customWidth="1"/>
    <col min="9" max="14" width="0" style="1" hidden="1" customWidth="1"/>
    <col min="15" max="16384" width="9.140625" style="1"/>
  </cols>
  <sheetData>
    <row r="1" spans="1:14" ht="31.5" customHeight="1" x14ac:dyDescent="0.3">
      <c r="B1" s="116" t="s">
        <v>163</v>
      </c>
      <c r="C1" s="116"/>
      <c r="D1" s="116"/>
      <c r="E1" s="116"/>
      <c r="F1" s="116"/>
      <c r="G1" s="116"/>
    </row>
    <row r="2" spans="1:14" ht="24.75" customHeight="1" x14ac:dyDescent="0.2">
      <c r="B2" s="15"/>
      <c r="C2" s="15"/>
      <c r="D2" s="15"/>
      <c r="E2" s="15"/>
      <c r="F2" s="16"/>
      <c r="G2" s="15"/>
    </row>
    <row r="3" spans="1:14" ht="73.5" customHeight="1" x14ac:dyDescent="0.2">
      <c r="B3" s="134" t="str">
        <f>"A "&amp;PREENCHER!G6&amp;" "&amp;PREENCHER!$F$6&amp;" declara para os devidos e necessários fins que na elaboração do orçamento referente ao objeto ''"&amp;PREENCHER!$E$8&amp;"'', foi adotado percentual de BDI de "&amp;E29&amp; " % (conforme planilha da composição analítica abaixo) e encargos " &amp;PREENCHER!$E$9&amp; " em conformidade com o estabelecido no SINAPI."</f>
        <v>A  Mostardas declara para os devidos e necessários fins que na elaboração do orçamento referente ao objeto ''CENTRAL DE GÁS- E.N.S. APARECIDA -SOLIDÃO'', foi adotado percentual de BDI de 20,35 % (conforme planilha da composição analítica abaixo) e encargos sem desoneração em conformidade com o estabelecido no SINAPI.</v>
      </c>
      <c r="C3" s="134"/>
      <c r="D3" s="134"/>
      <c r="E3" s="134"/>
      <c r="F3" s="134"/>
      <c r="G3" s="134"/>
    </row>
    <row r="4" spans="1:14" ht="34.5" customHeight="1" x14ac:dyDescent="0.2">
      <c r="B4" s="134" t="str">
        <f>"Declaramos ainda que a alíquota de ISS no município é de "&amp;PREENCHER!$E$16&amp;"%, a incidir sobre o "&amp;PREENCHER!$E$17&amp; "."</f>
        <v>Declaramos ainda que a alíquota de ISS no município é de 3%, a incidir sobre o valor da mão de obra.</v>
      </c>
      <c r="C4" s="134"/>
      <c r="D4" s="134"/>
      <c r="E4" s="134"/>
      <c r="F4" s="134"/>
      <c r="G4" s="134"/>
    </row>
    <row r="5" spans="1:14" ht="31.5" customHeight="1" x14ac:dyDescent="0.25">
      <c r="B5" s="138" t="str">
        <f>IF(PREENCHER!E17="valor total da obra","","Para a obra em questão é considerada a relação de "&amp;PREENCHER!$E$18&amp;"% é mão de obra e "&amp;100-PREENCHER!$E$18&amp;"% é material.")</f>
        <v>Para a obra em questão é considerada a relação de 44,82% é mão de obra e 55,18% é material.</v>
      </c>
      <c r="C5" s="138"/>
      <c r="D5" s="138"/>
      <c r="E5" s="138"/>
      <c r="F5" s="138"/>
      <c r="G5" s="138"/>
    </row>
    <row r="6" spans="1:14" ht="15" customHeight="1" x14ac:dyDescent="0.25">
      <c r="B6" s="135" t="str">
        <f>"O regime de execução da obra será "&amp;PREENCHER!E14&amp;"."</f>
        <v>O regime de execução da obra será empreitada por preço global.</v>
      </c>
      <c r="C6" s="135"/>
      <c r="D6" s="135"/>
      <c r="E6" s="135"/>
      <c r="F6" s="135"/>
      <c r="G6" s="135"/>
    </row>
    <row r="7" spans="1:14" ht="38.25" customHeight="1" thickBot="1" x14ac:dyDescent="0.25">
      <c r="B7" s="17"/>
      <c r="C7" s="17"/>
      <c r="D7" s="17"/>
      <c r="E7" s="17"/>
      <c r="F7" s="17"/>
      <c r="G7" s="17"/>
    </row>
    <row r="8" spans="1:14" ht="16.5" thickBot="1" x14ac:dyDescent="0.3">
      <c r="B8" s="139" t="s">
        <v>77</v>
      </c>
      <c r="C8" s="140"/>
      <c r="D8" s="140"/>
      <c r="E8" s="140"/>
      <c r="F8" s="140"/>
      <c r="G8" s="141"/>
      <c r="I8" s="3"/>
      <c r="J8" s="8"/>
      <c r="K8" s="3"/>
      <c r="L8" s="3"/>
      <c r="M8" s="3"/>
      <c r="N8" s="3"/>
    </row>
    <row r="9" spans="1:14" ht="6" customHeight="1" thickBot="1" x14ac:dyDescent="0.25">
      <c r="B9" s="15"/>
      <c r="C9" s="15"/>
      <c r="D9" s="15"/>
      <c r="E9" s="15"/>
      <c r="F9" s="16"/>
      <c r="G9" s="15"/>
      <c r="I9" s="3"/>
      <c r="J9" s="3"/>
      <c r="K9" s="3"/>
      <c r="L9" s="3"/>
      <c r="M9" s="3"/>
      <c r="N9" s="3"/>
    </row>
    <row r="10" spans="1:14" ht="24" customHeight="1" thickBot="1" x14ac:dyDescent="0.25">
      <c r="B10" s="142" t="s">
        <v>78</v>
      </c>
      <c r="C10" s="143"/>
      <c r="D10" s="144" t="str">
        <f>PREENCHER!D26</f>
        <v>1 - Construção de Edifícios</v>
      </c>
      <c r="E10" s="144"/>
      <c r="F10" s="144"/>
      <c r="G10" s="145"/>
      <c r="I10" s="3"/>
      <c r="J10" s="3"/>
      <c r="K10" s="3"/>
      <c r="L10" s="3"/>
      <c r="M10" s="3"/>
      <c r="N10" s="3"/>
    </row>
    <row r="11" spans="1:14" ht="5.25" customHeight="1" thickBot="1" x14ac:dyDescent="0.25">
      <c r="B11" s="15"/>
      <c r="C11" s="15"/>
      <c r="D11" s="15"/>
      <c r="E11" s="15"/>
      <c r="F11" s="16"/>
      <c r="G11" s="15"/>
      <c r="I11" s="3"/>
      <c r="J11" s="3"/>
      <c r="K11" s="3"/>
      <c r="L11" s="3"/>
      <c r="M11" s="3"/>
      <c r="N11" s="3"/>
    </row>
    <row r="12" spans="1:14" ht="13.5" thickBot="1" x14ac:dyDescent="0.25">
      <c r="B12" s="146" t="s">
        <v>9</v>
      </c>
      <c r="C12" s="147"/>
      <c r="D12" s="147"/>
      <c r="E12" s="18" t="s">
        <v>8</v>
      </c>
      <c r="F12" s="18" t="s">
        <v>66</v>
      </c>
      <c r="G12" s="19" t="s">
        <v>5</v>
      </c>
      <c r="I12" s="3"/>
      <c r="J12" s="3" t="s">
        <v>32</v>
      </c>
      <c r="K12" s="3"/>
      <c r="L12" s="3"/>
      <c r="M12" s="3" t="s">
        <v>58</v>
      </c>
      <c r="N12" s="3" t="s">
        <v>5</v>
      </c>
    </row>
    <row r="13" spans="1:14" x14ac:dyDescent="0.2">
      <c r="A13" s="3"/>
      <c r="B13" s="20" t="s">
        <v>10</v>
      </c>
      <c r="C13" s="148" t="s">
        <v>0</v>
      </c>
      <c r="D13" s="149"/>
      <c r="E13" s="21">
        <f>PREENCHER!G29</f>
        <v>4.5</v>
      </c>
      <c r="F13" s="22">
        <f>PREENCHER!H29</f>
        <v>3</v>
      </c>
      <c r="G13" s="22">
        <f>PREENCHER!I29</f>
        <v>5.5</v>
      </c>
      <c r="I13" s="3"/>
      <c r="J13" s="3" t="s">
        <v>33</v>
      </c>
      <c r="K13" s="3"/>
      <c r="L13" s="3" t="s">
        <v>22</v>
      </c>
      <c r="M13" s="6">
        <v>3</v>
      </c>
      <c r="N13" s="6">
        <v>5.5</v>
      </c>
    </row>
    <row r="14" spans="1:14" x14ac:dyDescent="0.2">
      <c r="A14" s="3"/>
      <c r="B14" s="23" t="s">
        <v>11</v>
      </c>
      <c r="C14" s="126" t="s">
        <v>1</v>
      </c>
      <c r="D14" s="127"/>
      <c r="E14" s="21">
        <f>PREENCHER!G30</f>
        <v>0.9</v>
      </c>
      <c r="F14" s="22">
        <f>PREENCHER!H30</f>
        <v>0.8</v>
      </c>
      <c r="G14" s="22">
        <f>PREENCHER!I30</f>
        <v>1</v>
      </c>
      <c r="I14" s="3"/>
      <c r="J14" s="3" t="s">
        <v>34</v>
      </c>
      <c r="K14" s="3"/>
      <c r="L14" s="3" t="s">
        <v>23</v>
      </c>
      <c r="M14" s="6">
        <v>0.8</v>
      </c>
      <c r="N14" s="6">
        <v>1</v>
      </c>
    </row>
    <row r="15" spans="1:14" x14ac:dyDescent="0.2">
      <c r="A15" s="3"/>
      <c r="B15" s="23" t="s">
        <v>12</v>
      </c>
      <c r="C15" s="126" t="s">
        <v>2</v>
      </c>
      <c r="D15" s="127"/>
      <c r="E15" s="21">
        <f>PREENCHER!G31</f>
        <v>1</v>
      </c>
      <c r="F15" s="22">
        <f>PREENCHER!H31</f>
        <v>0.97</v>
      </c>
      <c r="G15" s="22">
        <f>PREENCHER!I31</f>
        <v>1.27</v>
      </c>
      <c r="I15" s="3"/>
      <c r="J15" s="3" t="s">
        <v>35</v>
      </c>
      <c r="K15" s="3"/>
      <c r="L15" s="3" t="s">
        <v>24</v>
      </c>
      <c r="M15" s="6">
        <v>0.97</v>
      </c>
      <c r="N15" s="6">
        <v>1.27</v>
      </c>
    </row>
    <row r="16" spans="1:14" x14ac:dyDescent="0.2">
      <c r="A16" s="3"/>
      <c r="B16" s="23" t="s">
        <v>13</v>
      </c>
      <c r="C16" s="126" t="s">
        <v>3</v>
      </c>
      <c r="D16" s="127"/>
      <c r="E16" s="21">
        <f>PREENCHER!G32</f>
        <v>0.8</v>
      </c>
      <c r="F16" s="22">
        <f>PREENCHER!H32</f>
        <v>0.59</v>
      </c>
      <c r="G16" s="22">
        <f>PREENCHER!I32</f>
        <v>1.39</v>
      </c>
      <c r="I16" s="3"/>
      <c r="J16" s="3" t="s">
        <v>36</v>
      </c>
      <c r="K16" s="3"/>
      <c r="L16" s="3" t="s">
        <v>25</v>
      </c>
      <c r="M16" s="6">
        <v>0.59</v>
      </c>
      <c r="N16" s="6">
        <v>1.39</v>
      </c>
    </row>
    <row r="17" spans="1:19" x14ac:dyDescent="0.2">
      <c r="A17" s="3"/>
      <c r="B17" s="23" t="s">
        <v>14</v>
      </c>
      <c r="C17" s="126" t="s">
        <v>4</v>
      </c>
      <c r="D17" s="127"/>
      <c r="E17" s="21">
        <f>PREENCHER!G33</f>
        <v>6.61</v>
      </c>
      <c r="F17" s="22">
        <f>PREENCHER!H33</f>
        <v>6.16</v>
      </c>
      <c r="G17" s="22">
        <f>PREENCHER!I33</f>
        <v>8.9600000000000009</v>
      </c>
      <c r="I17" s="3"/>
      <c r="J17" s="3" t="s">
        <v>37</v>
      </c>
      <c r="K17" s="3"/>
      <c r="L17" s="3" t="s">
        <v>26</v>
      </c>
      <c r="M17" s="6">
        <v>6.16</v>
      </c>
      <c r="N17" s="6">
        <v>8.9600000000000009</v>
      </c>
    </row>
    <row r="18" spans="1:19" x14ac:dyDescent="0.2">
      <c r="B18" s="23" t="s">
        <v>15</v>
      </c>
      <c r="C18" s="126" t="s">
        <v>67</v>
      </c>
      <c r="D18" s="127"/>
      <c r="E18" s="21">
        <f>SUM(E19:E22)</f>
        <v>4.9946000000000002</v>
      </c>
      <c r="F18" s="128" t="s">
        <v>6</v>
      </c>
      <c r="G18" s="129"/>
      <c r="I18" s="3"/>
      <c r="J18" s="3"/>
      <c r="K18" s="3"/>
      <c r="L18" s="3" t="s">
        <v>27</v>
      </c>
      <c r="M18" s="6">
        <v>3.8</v>
      </c>
      <c r="N18" s="6">
        <v>4.67</v>
      </c>
    </row>
    <row r="19" spans="1:19" x14ac:dyDescent="0.2">
      <c r="B19" s="23"/>
      <c r="C19" s="24"/>
      <c r="D19" s="25" t="s">
        <v>69</v>
      </c>
      <c r="E19" s="26">
        <f>PREENCHER!G35</f>
        <v>0.65</v>
      </c>
      <c r="F19" s="130"/>
      <c r="G19" s="131"/>
      <c r="I19" s="3"/>
      <c r="J19" s="3"/>
      <c r="K19" s="3"/>
      <c r="L19" s="3"/>
      <c r="M19" s="6"/>
      <c r="N19" s="6"/>
      <c r="S19" s="11"/>
    </row>
    <row r="20" spans="1:19" x14ac:dyDescent="0.2">
      <c r="B20" s="23"/>
      <c r="C20" s="24"/>
      <c r="D20" s="25" t="s">
        <v>68</v>
      </c>
      <c r="E20" s="26">
        <f>PREENCHER!G36</f>
        <v>3</v>
      </c>
      <c r="F20" s="130"/>
      <c r="G20" s="131"/>
      <c r="I20" s="3"/>
      <c r="J20" s="3"/>
      <c r="K20" s="3"/>
      <c r="L20" s="3"/>
      <c r="M20" s="6"/>
      <c r="N20" s="6"/>
    </row>
    <row r="21" spans="1:19" x14ac:dyDescent="0.2">
      <c r="B21" s="23"/>
      <c r="C21" s="24"/>
      <c r="D21" s="25" t="s">
        <v>90</v>
      </c>
      <c r="E21" s="26">
        <f>PREENCHER!G37</f>
        <v>1.3446</v>
      </c>
      <c r="F21" s="130"/>
      <c r="G21" s="131"/>
      <c r="I21" s="3"/>
      <c r="J21" s="3"/>
      <c r="K21" s="3"/>
      <c r="L21" s="3"/>
      <c r="M21" s="6"/>
      <c r="N21" s="6"/>
    </row>
    <row r="22" spans="1:19" x14ac:dyDescent="0.2">
      <c r="B22" s="23"/>
      <c r="C22" s="24"/>
      <c r="D22" s="25" t="s">
        <v>74</v>
      </c>
      <c r="E22" s="26" t="str">
        <f>PREENCHER!G38</f>
        <v>0</v>
      </c>
      <c r="F22" s="132"/>
      <c r="G22" s="133"/>
      <c r="I22" s="3"/>
      <c r="J22" s="3"/>
      <c r="K22" s="3"/>
      <c r="L22" s="3"/>
      <c r="M22" s="6"/>
      <c r="N22" s="6"/>
    </row>
    <row r="23" spans="1:19" ht="4.5" customHeight="1" thickBot="1" x14ac:dyDescent="0.25">
      <c r="B23" s="15"/>
      <c r="C23" s="15"/>
      <c r="D23" s="15"/>
      <c r="E23" s="15"/>
      <c r="F23" s="16"/>
      <c r="G23" s="15"/>
      <c r="I23" s="3"/>
      <c r="J23" s="3"/>
      <c r="K23" s="3"/>
      <c r="L23" s="3" t="s">
        <v>29</v>
      </c>
      <c r="M23" s="6">
        <v>0.5</v>
      </c>
      <c r="N23" s="6">
        <v>0.97</v>
      </c>
    </row>
    <row r="24" spans="1:19" ht="13.5" thickBot="1" x14ac:dyDescent="0.25">
      <c r="B24" s="117" t="s">
        <v>19</v>
      </c>
      <c r="C24" s="118"/>
      <c r="D24" s="118"/>
      <c r="E24" s="119"/>
      <c r="F24" s="27"/>
      <c r="G24" s="15"/>
      <c r="I24" s="3"/>
      <c r="J24" s="3"/>
      <c r="K24" s="3"/>
      <c r="L24" s="3" t="s">
        <v>30</v>
      </c>
      <c r="M24" s="6">
        <v>1.02</v>
      </c>
      <c r="N24" s="6">
        <v>1.21</v>
      </c>
    </row>
    <row r="25" spans="1:19" ht="22.5" customHeight="1" thickBot="1" x14ac:dyDescent="0.25">
      <c r="B25" s="120"/>
      <c r="C25" s="122" t="s">
        <v>17</v>
      </c>
      <c r="D25" s="28" t="s">
        <v>18</v>
      </c>
      <c r="E25" s="124">
        <v>-1</v>
      </c>
      <c r="F25" s="16"/>
      <c r="G25" s="15"/>
      <c r="I25" s="3"/>
      <c r="J25" s="3"/>
      <c r="K25" s="3"/>
      <c r="L25" s="3" t="s">
        <v>31</v>
      </c>
      <c r="M25" s="6">
        <v>6.64</v>
      </c>
      <c r="N25" s="6">
        <v>8.69</v>
      </c>
    </row>
    <row r="26" spans="1:19" ht="21" customHeight="1" thickBot="1" x14ac:dyDescent="0.25">
      <c r="B26" s="121"/>
      <c r="C26" s="123"/>
      <c r="D26" s="29" t="s">
        <v>16</v>
      </c>
      <c r="E26" s="125"/>
      <c r="F26" s="16"/>
      <c r="G26" s="15"/>
      <c r="I26" s="3"/>
      <c r="J26" s="3"/>
      <c r="K26" s="3"/>
      <c r="L26" s="3" t="s">
        <v>38</v>
      </c>
      <c r="M26" s="6">
        <v>3.43</v>
      </c>
      <c r="N26" s="6">
        <v>6.71</v>
      </c>
    </row>
    <row r="27" spans="1:19" ht="3" customHeight="1" thickBot="1" x14ac:dyDescent="0.25">
      <c r="B27" s="15"/>
      <c r="C27" s="15"/>
      <c r="D27" s="15"/>
      <c r="E27" s="15"/>
      <c r="F27" s="16"/>
      <c r="G27" s="15"/>
      <c r="I27" s="3"/>
      <c r="J27" s="3"/>
      <c r="K27" s="3"/>
      <c r="L27" s="3" t="s">
        <v>39</v>
      </c>
      <c r="M27" s="6">
        <v>0.28000000000000003</v>
      </c>
      <c r="N27" s="6">
        <v>0.75</v>
      </c>
    </row>
    <row r="28" spans="1:19" ht="15" customHeight="1" thickBot="1" x14ac:dyDescent="0.25">
      <c r="B28" s="150" t="s">
        <v>21</v>
      </c>
      <c r="C28" s="151"/>
      <c r="D28" s="151"/>
      <c r="E28" s="152"/>
      <c r="F28" s="153" t="str">
        <f>IF(PREENCHER!G46&gt;PREENCHER!H46,IF(PREENCHER!G46&lt;PREENCHER!I46,"De acordo com o Acórdão 2622/2013-TCU.","NÃO"),"XXX BDI FORA DOS LIMITES AC 2622/13 XXX")</f>
        <v>De acordo com o Acórdão 2622/2013-TCU.</v>
      </c>
      <c r="G28" s="154"/>
      <c r="I28" s="3"/>
      <c r="J28" s="3"/>
      <c r="K28" s="3"/>
      <c r="L28" s="3" t="s">
        <v>40</v>
      </c>
      <c r="M28" s="6">
        <v>1</v>
      </c>
      <c r="N28" s="6">
        <v>1.74</v>
      </c>
    </row>
    <row r="29" spans="1:19" ht="16.5" thickBot="1" x14ac:dyDescent="0.3">
      <c r="A29" s="3"/>
      <c r="B29" s="156" t="s">
        <v>21</v>
      </c>
      <c r="C29" s="157"/>
      <c r="D29" s="157"/>
      <c r="E29" s="30">
        <f>100*ROUND((((1+E13/100+E14/100+E15/100)*(1+E16/100)*(1+E17/100))/(1-E18/100))-1,4)</f>
        <v>20.349999999999998</v>
      </c>
      <c r="F29" s="153"/>
      <c r="G29" s="154"/>
      <c r="I29" s="3"/>
      <c r="J29" s="3"/>
      <c r="K29" s="3"/>
      <c r="L29" s="3" t="s">
        <v>41</v>
      </c>
      <c r="M29" s="6">
        <v>0.94</v>
      </c>
      <c r="N29" s="6">
        <v>1.17</v>
      </c>
    </row>
    <row r="30" spans="1:19" ht="8.25" customHeight="1" x14ac:dyDescent="0.2">
      <c r="B30" s="15"/>
      <c r="C30" s="15"/>
      <c r="D30" s="15"/>
      <c r="E30" s="15"/>
      <c r="F30" s="16"/>
      <c r="G30" s="15"/>
      <c r="I30" s="3"/>
      <c r="J30" s="3"/>
      <c r="K30" s="3"/>
      <c r="L30" s="3" t="s">
        <v>43</v>
      </c>
      <c r="M30" s="6">
        <v>5.29</v>
      </c>
      <c r="N30" s="6">
        <v>7.93</v>
      </c>
    </row>
    <row r="31" spans="1:19" ht="90" customHeight="1" x14ac:dyDescent="0.2">
      <c r="B31" s="155"/>
      <c r="C31" s="155"/>
      <c r="D31" s="155"/>
      <c r="E31" s="155"/>
      <c r="F31" s="155"/>
      <c r="G31" s="155"/>
      <c r="I31" s="3"/>
      <c r="J31" s="3"/>
      <c r="K31" s="3"/>
      <c r="L31" s="3" t="s">
        <v>44</v>
      </c>
      <c r="M31" s="6">
        <v>0.25</v>
      </c>
      <c r="N31" s="6">
        <v>0.56000000000000005</v>
      </c>
    </row>
    <row r="32" spans="1:19" ht="11.25" customHeight="1" x14ac:dyDescent="0.2">
      <c r="B32" s="31"/>
      <c r="C32" s="31"/>
      <c r="D32" s="15"/>
      <c r="E32" s="15"/>
      <c r="F32" s="16"/>
      <c r="G32" s="15"/>
      <c r="I32" s="3"/>
      <c r="J32" s="3"/>
      <c r="K32" s="3"/>
      <c r="L32" s="3" t="s">
        <v>45</v>
      </c>
      <c r="M32" s="6">
        <v>1</v>
      </c>
      <c r="N32" s="6">
        <v>1.97</v>
      </c>
    </row>
    <row r="33" spans="2:14" x14ac:dyDescent="0.2">
      <c r="B33" s="136" t="str">
        <f>PREENCHER!E11</f>
        <v>Rogério Toldo Machado</v>
      </c>
      <c r="C33" s="136"/>
      <c r="D33" s="136"/>
      <c r="E33" s="15"/>
      <c r="F33" s="16"/>
      <c r="G33" s="15"/>
      <c r="I33" s="3"/>
      <c r="J33" s="3"/>
      <c r="K33" s="3"/>
      <c r="L33" s="3" t="s">
        <v>46</v>
      </c>
      <c r="M33" s="6">
        <v>1.01</v>
      </c>
      <c r="N33" s="6">
        <v>1.1100000000000001</v>
      </c>
    </row>
    <row r="34" spans="2:14" x14ac:dyDescent="0.2">
      <c r="B34" s="137" t="str">
        <f>PREENCHER!B12&amp;PREENCHER!E12</f>
        <v>CAU-RS17954-0</v>
      </c>
      <c r="C34" s="137"/>
      <c r="D34" s="137"/>
      <c r="E34" s="15"/>
      <c r="F34" s="16"/>
      <c r="G34" s="15"/>
      <c r="I34" s="3"/>
      <c r="J34" s="3"/>
      <c r="K34" s="3"/>
      <c r="L34" s="3" t="s">
        <v>47</v>
      </c>
      <c r="M34" s="6">
        <v>8</v>
      </c>
      <c r="N34" s="6">
        <v>9.51</v>
      </c>
    </row>
    <row r="35" spans="2:14" x14ac:dyDescent="0.2">
      <c r="B35" s="137"/>
      <c r="C35" s="137"/>
      <c r="D35" s="137"/>
      <c r="E35" s="15"/>
      <c r="F35" s="16"/>
      <c r="G35" s="15"/>
      <c r="I35" s="3"/>
      <c r="J35" s="3"/>
      <c r="K35" s="3"/>
      <c r="L35" s="3" t="s">
        <v>48</v>
      </c>
      <c r="M35" s="6">
        <v>4</v>
      </c>
      <c r="N35" s="6">
        <v>7.85</v>
      </c>
    </row>
    <row r="36" spans="2:14" x14ac:dyDescent="0.2">
      <c r="B36" s="15"/>
      <c r="C36" s="15"/>
      <c r="D36" s="15"/>
      <c r="E36" s="15"/>
      <c r="F36" s="16"/>
      <c r="G36" s="15"/>
      <c r="I36" s="3"/>
      <c r="J36" s="3"/>
      <c r="K36" s="3"/>
      <c r="L36" s="3" t="s">
        <v>49</v>
      </c>
      <c r="M36" s="6">
        <v>0.81</v>
      </c>
      <c r="N36" s="6">
        <v>1.99</v>
      </c>
    </row>
    <row r="37" spans="2:14" x14ac:dyDescent="0.2">
      <c r="B37" s="15"/>
      <c r="C37" s="15"/>
      <c r="D37" s="15"/>
      <c r="E37" s="15"/>
      <c r="F37" s="16"/>
      <c r="G37" s="15"/>
      <c r="I37" s="3"/>
      <c r="J37" s="3"/>
      <c r="K37" s="3"/>
      <c r="L37" s="3" t="s">
        <v>50</v>
      </c>
      <c r="M37" s="6">
        <v>1.46</v>
      </c>
      <c r="N37" s="6">
        <v>3.16</v>
      </c>
    </row>
    <row r="38" spans="2:14" x14ac:dyDescent="0.2">
      <c r="B38" s="15"/>
      <c r="C38" s="15"/>
      <c r="D38" s="15"/>
      <c r="E38" s="15"/>
      <c r="F38" s="16"/>
      <c r="G38" s="15"/>
      <c r="I38" s="3"/>
      <c r="J38" s="3"/>
      <c r="K38" s="3"/>
      <c r="L38" s="3" t="s">
        <v>51</v>
      </c>
      <c r="M38" s="6">
        <v>0.94</v>
      </c>
      <c r="N38" s="6">
        <v>1.33</v>
      </c>
    </row>
    <row r="39" spans="2:14" x14ac:dyDescent="0.2">
      <c r="I39" s="3"/>
      <c r="J39" s="3"/>
      <c r="K39" s="3"/>
      <c r="L39" s="3" t="s">
        <v>54</v>
      </c>
      <c r="M39" s="6">
        <v>0.3</v>
      </c>
      <c r="N39" s="6">
        <v>0.82</v>
      </c>
    </row>
    <row r="40" spans="2:14" x14ac:dyDescent="0.2">
      <c r="I40" s="3"/>
      <c r="J40" s="3"/>
      <c r="K40" s="3"/>
      <c r="L40" s="3" t="s">
        <v>55</v>
      </c>
      <c r="M40" s="6">
        <v>0.56000000000000005</v>
      </c>
      <c r="N40" s="6">
        <v>0.89</v>
      </c>
    </row>
    <row r="41" spans="2:14" x14ac:dyDescent="0.2">
      <c r="I41" s="3"/>
      <c r="J41" s="3"/>
      <c r="K41" s="3"/>
      <c r="L41" s="3" t="s">
        <v>56</v>
      </c>
      <c r="M41" s="6">
        <v>0.85</v>
      </c>
      <c r="N41" s="6">
        <v>1.1100000000000001</v>
      </c>
    </row>
    <row r="42" spans="2:14" x14ac:dyDescent="0.2">
      <c r="I42" s="3"/>
      <c r="J42" s="3"/>
      <c r="K42" s="3"/>
      <c r="L42" s="3" t="s">
        <v>57</v>
      </c>
      <c r="M42" s="6">
        <v>3.5</v>
      </c>
      <c r="N42" s="6">
        <v>6.22</v>
      </c>
    </row>
    <row r="43" spans="2:14" x14ac:dyDescent="0.2">
      <c r="I43" s="3"/>
      <c r="J43" s="3"/>
      <c r="K43" s="3"/>
      <c r="L43" s="3" t="s">
        <v>59</v>
      </c>
      <c r="M43" s="6">
        <v>20.34</v>
      </c>
      <c r="N43" s="6">
        <v>25</v>
      </c>
    </row>
    <row r="44" spans="2:14" x14ac:dyDescent="0.2">
      <c r="I44" s="3"/>
      <c r="J44" s="3"/>
      <c r="K44" s="3"/>
      <c r="L44" s="3" t="s">
        <v>60</v>
      </c>
      <c r="M44" s="6">
        <v>19.600000000000001</v>
      </c>
      <c r="N44" s="6">
        <v>24.23</v>
      </c>
    </row>
    <row r="45" spans="2:14" x14ac:dyDescent="0.2">
      <c r="I45" s="3"/>
      <c r="J45" s="3"/>
      <c r="K45" s="3"/>
      <c r="L45" s="3" t="s">
        <v>61</v>
      </c>
      <c r="M45" s="6">
        <v>20.76</v>
      </c>
      <c r="N45" s="6">
        <v>26.44</v>
      </c>
    </row>
    <row r="46" spans="2:14" x14ac:dyDescent="0.2">
      <c r="I46" s="3"/>
      <c r="J46" s="3"/>
      <c r="K46" s="3"/>
      <c r="L46" s="3" t="s">
        <v>62</v>
      </c>
      <c r="M46" s="6">
        <v>24</v>
      </c>
      <c r="N46" s="6">
        <v>27.86</v>
      </c>
    </row>
    <row r="47" spans="2:14" x14ac:dyDescent="0.2">
      <c r="I47" s="3"/>
      <c r="J47" s="3"/>
      <c r="K47" s="3"/>
      <c r="L47" s="3" t="s">
        <v>63</v>
      </c>
      <c r="M47" s="6">
        <v>22.8</v>
      </c>
      <c r="N47" s="6">
        <v>30.95</v>
      </c>
    </row>
    <row r="48" spans="2:14" x14ac:dyDescent="0.2">
      <c r="I48" s="3"/>
      <c r="J48" s="3"/>
      <c r="K48" s="3"/>
      <c r="L48" s="3" t="s">
        <v>64</v>
      </c>
      <c r="M48" s="6">
        <v>11.1</v>
      </c>
      <c r="N48" s="6">
        <v>16.8</v>
      </c>
    </row>
    <row r="49" spans="9:14" x14ac:dyDescent="0.2">
      <c r="I49" s="3"/>
      <c r="J49" s="3"/>
      <c r="K49" s="3"/>
      <c r="L49" s="3"/>
      <c r="M49" s="3"/>
      <c r="N49" s="3"/>
    </row>
    <row r="50" spans="9:14" x14ac:dyDescent="0.2">
      <c r="I50" s="3"/>
      <c r="J50" s="3"/>
      <c r="K50" s="3"/>
      <c r="L50" s="3"/>
      <c r="M50" s="3"/>
      <c r="N50" s="3"/>
    </row>
    <row r="51" spans="9:14" x14ac:dyDescent="0.2">
      <c r="I51" s="3"/>
      <c r="J51" s="3"/>
      <c r="K51" s="3"/>
      <c r="L51" s="3"/>
      <c r="M51" s="3"/>
      <c r="N51" s="3"/>
    </row>
    <row r="52" spans="9:14" x14ac:dyDescent="0.2">
      <c r="I52" s="3"/>
      <c r="J52" s="3"/>
      <c r="K52" s="3"/>
      <c r="L52" s="3"/>
      <c r="M52" s="3"/>
      <c r="N52" s="3"/>
    </row>
    <row r="53" spans="9:14" x14ac:dyDescent="0.2">
      <c r="I53" s="3"/>
      <c r="J53" s="3"/>
      <c r="K53" s="3"/>
      <c r="L53" s="3"/>
      <c r="M53" s="3"/>
      <c r="N53" s="3"/>
    </row>
    <row r="54" spans="9:14" x14ac:dyDescent="0.2">
      <c r="I54" s="3"/>
      <c r="J54" s="3"/>
      <c r="K54" s="3"/>
      <c r="L54" s="3"/>
      <c r="M54" s="3"/>
      <c r="N54" s="3"/>
    </row>
    <row r="55" spans="9:14" x14ac:dyDescent="0.2">
      <c r="I55" s="3"/>
      <c r="J55" s="3"/>
      <c r="K55" s="3"/>
      <c r="L55" s="3"/>
      <c r="M55" s="3"/>
      <c r="N55" s="3"/>
    </row>
    <row r="56" spans="9:14" x14ac:dyDescent="0.2">
      <c r="I56" s="3"/>
      <c r="J56" s="3"/>
      <c r="K56" s="3"/>
      <c r="L56" s="3"/>
      <c r="M56" s="3"/>
      <c r="N56" s="3"/>
    </row>
    <row r="57" spans="9:14" x14ac:dyDescent="0.2">
      <c r="I57" s="3"/>
      <c r="J57" s="3"/>
      <c r="K57" s="3"/>
      <c r="L57" s="3"/>
      <c r="M57" s="3"/>
      <c r="N57" s="3"/>
    </row>
    <row r="58" spans="9:14" x14ac:dyDescent="0.2">
      <c r="I58" s="3"/>
      <c r="J58" s="3"/>
      <c r="K58" s="3"/>
      <c r="L58" s="3"/>
      <c r="M58" s="3"/>
      <c r="N58" s="3"/>
    </row>
    <row r="59" spans="9:14" x14ac:dyDescent="0.2">
      <c r="I59" s="3"/>
      <c r="J59" s="3"/>
      <c r="K59" s="3"/>
      <c r="L59" s="3"/>
      <c r="M59" s="3"/>
      <c r="N59" s="3"/>
    </row>
    <row r="60" spans="9:14" x14ac:dyDescent="0.2">
      <c r="I60" s="3"/>
      <c r="J60" s="3"/>
      <c r="K60" s="3"/>
      <c r="L60" s="3"/>
      <c r="M60" s="3"/>
      <c r="N60" s="3"/>
    </row>
    <row r="61" spans="9:14" x14ac:dyDescent="0.2">
      <c r="I61" s="3"/>
      <c r="J61" s="3"/>
      <c r="K61" s="3"/>
      <c r="L61" s="3"/>
      <c r="M61" s="3"/>
      <c r="N61" s="3"/>
    </row>
    <row r="62" spans="9:14" x14ac:dyDescent="0.2">
      <c r="I62" s="3"/>
      <c r="J62" s="3"/>
      <c r="K62" s="3"/>
      <c r="L62" s="3"/>
      <c r="M62" s="3"/>
      <c r="N62" s="3"/>
    </row>
    <row r="63" spans="9:14" x14ac:dyDescent="0.2">
      <c r="I63" s="3"/>
      <c r="J63" s="3"/>
      <c r="K63" s="3"/>
      <c r="L63" s="3"/>
      <c r="M63" s="3"/>
      <c r="N63" s="3"/>
    </row>
  </sheetData>
  <mergeCells count="27">
    <mergeCell ref="B33:D33"/>
    <mergeCell ref="B34:D34"/>
    <mergeCell ref="B35:D35"/>
    <mergeCell ref="B5:G5"/>
    <mergeCell ref="B8:G8"/>
    <mergeCell ref="B10:C10"/>
    <mergeCell ref="D10:G10"/>
    <mergeCell ref="B12:D12"/>
    <mergeCell ref="C13:D13"/>
    <mergeCell ref="B28:E28"/>
    <mergeCell ref="F28:G29"/>
    <mergeCell ref="B31:G31"/>
    <mergeCell ref="B29:D29"/>
    <mergeCell ref="B1:G1"/>
    <mergeCell ref="B24:E24"/>
    <mergeCell ref="B25:B26"/>
    <mergeCell ref="C25:C26"/>
    <mergeCell ref="E25:E26"/>
    <mergeCell ref="C14:D14"/>
    <mergeCell ref="C15:D15"/>
    <mergeCell ref="C16:D16"/>
    <mergeCell ref="C17:D17"/>
    <mergeCell ref="C18:D18"/>
    <mergeCell ref="F18:G22"/>
    <mergeCell ref="B3:G3"/>
    <mergeCell ref="B4:G4"/>
    <mergeCell ref="B6:G6"/>
  </mergeCells>
  <phoneticPr fontId="19" type="noConversion"/>
  <dataValidations count="2">
    <dataValidation type="decimal" allowBlank="1" showInputMessage="1" showErrorMessage="1" error="O valor inserido está fora dos limites estabelecidos pelo acórdão 2622/2013 do TCU ou é inválido." sqref="E19:E22">
      <formula1>F19</formula1>
      <formula2>G19</formula2>
    </dataValidation>
    <dataValidation allowBlank="1" showInputMessage="1" showErrorMessage="1" error="O valor inserido está fora dos limites estabelecidos pelo acórdão 2622/2013 do TCU ou é inválido." sqref="E13:E18"/>
  </dataValidation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>
    <pageSetUpPr fitToPage="1"/>
  </sheetPr>
  <dimension ref="A1:I156"/>
  <sheetViews>
    <sheetView zoomScale="130" zoomScaleNormal="130" workbookViewId="0">
      <selection activeCell="D54" sqref="D54"/>
    </sheetView>
  </sheetViews>
  <sheetFormatPr defaultColWidth="9.140625" defaultRowHeight="12.75" x14ac:dyDescent="0.2"/>
  <cols>
    <col min="1" max="1" width="8.42578125" style="35" customWidth="1"/>
    <col min="2" max="2" width="12.140625" style="35" customWidth="1"/>
    <col min="3" max="3" width="9.140625" style="35"/>
    <col min="4" max="4" width="41.140625" style="35" customWidth="1"/>
    <col min="5" max="5" width="20.42578125" style="35" bestFit="1" customWidth="1"/>
    <col min="6" max="16384" width="9.140625" style="35"/>
  </cols>
  <sheetData>
    <row r="1" spans="1:9" ht="18" x14ac:dyDescent="0.25">
      <c r="A1" s="11"/>
      <c r="B1" s="167" t="s">
        <v>162</v>
      </c>
      <c r="C1" s="167"/>
      <c r="D1" s="167"/>
      <c r="E1" s="167"/>
      <c r="F1" s="11"/>
    </row>
    <row r="2" spans="1:9" ht="15" customHeight="1" x14ac:dyDescent="0.2">
      <c r="A2" s="11"/>
      <c r="B2" s="43" t="s">
        <v>176</v>
      </c>
      <c r="C2" s="43"/>
      <c r="D2" s="43"/>
      <c r="E2" s="43"/>
      <c r="F2" s="11"/>
    </row>
    <row r="3" spans="1:9" ht="15" customHeight="1" x14ac:dyDescent="0.2">
      <c r="A3" s="11"/>
      <c r="B3" s="43" t="s">
        <v>169</v>
      </c>
      <c r="C3" s="43"/>
      <c r="D3" s="43"/>
      <c r="E3" s="43"/>
      <c r="F3" s="11"/>
    </row>
    <row r="4" spans="1:9" x14ac:dyDescent="0.2">
      <c r="A4" s="11"/>
      <c r="B4" s="43" t="s">
        <v>170</v>
      </c>
      <c r="C4" s="43"/>
      <c r="D4" s="43"/>
      <c r="E4" s="43"/>
      <c r="F4" s="11"/>
    </row>
    <row r="5" spans="1:9" ht="16.5" customHeight="1" x14ac:dyDescent="0.2">
      <c r="A5" s="11"/>
      <c r="B5" s="170" t="s">
        <v>152</v>
      </c>
      <c r="C5" s="171"/>
      <c r="D5" s="171"/>
      <c r="E5" s="172"/>
      <c r="F5" s="11"/>
    </row>
    <row r="6" spans="1:9" ht="15.75" customHeight="1" x14ac:dyDescent="0.2">
      <c r="A6" s="11"/>
      <c r="B6" s="173"/>
      <c r="C6" s="174"/>
      <c r="D6" s="174"/>
      <c r="E6" s="175"/>
      <c r="F6" s="11"/>
    </row>
    <row r="7" spans="1:9" x14ac:dyDescent="0.2">
      <c r="A7" s="11"/>
      <c r="B7" s="11"/>
      <c r="C7" s="11"/>
      <c r="D7" s="11"/>
      <c r="E7" s="11"/>
      <c r="F7" s="11"/>
    </row>
    <row r="8" spans="1:9" ht="24.75" customHeight="1" x14ac:dyDescent="0.2">
      <c r="A8" s="11"/>
      <c r="B8" s="184" t="s">
        <v>78</v>
      </c>
      <c r="C8" s="184"/>
      <c r="D8" s="185" t="str">
        <f>PREENCHER!D26</f>
        <v>1 - Construção de Edifícios</v>
      </c>
      <c r="E8" s="185"/>
      <c r="F8" s="11"/>
    </row>
    <row r="9" spans="1:9" ht="12.75" customHeight="1" x14ac:dyDescent="0.2">
      <c r="A9" s="11"/>
      <c r="B9" s="164" t="s">
        <v>153</v>
      </c>
      <c r="C9" s="158" t="s">
        <v>156</v>
      </c>
      <c r="D9" s="159"/>
      <c r="E9" s="64" t="s">
        <v>165</v>
      </c>
      <c r="F9" s="11"/>
    </row>
    <row r="10" spans="1:9" ht="15" customHeight="1" x14ac:dyDescent="0.2">
      <c r="A10" s="11"/>
      <c r="B10" s="165"/>
      <c r="C10" s="160"/>
      <c r="D10" s="161"/>
      <c r="E10" s="65" t="s">
        <v>166</v>
      </c>
      <c r="F10" s="11"/>
      <c r="I10" s="36"/>
    </row>
    <row r="11" spans="1:9" x14ac:dyDescent="0.2">
      <c r="A11" s="11"/>
      <c r="B11" s="166"/>
      <c r="C11" s="162"/>
      <c r="D11" s="163"/>
      <c r="E11" s="66" t="s">
        <v>71</v>
      </c>
      <c r="F11" s="11"/>
      <c r="I11" s="36"/>
    </row>
    <row r="12" spans="1:9" x14ac:dyDescent="0.2">
      <c r="A12" s="11"/>
      <c r="B12" s="177" t="s">
        <v>157</v>
      </c>
      <c r="C12" s="177"/>
      <c r="D12" s="177"/>
      <c r="E12" s="177"/>
      <c r="F12" s="11"/>
      <c r="I12" s="36"/>
    </row>
    <row r="13" spans="1:9" x14ac:dyDescent="0.2">
      <c r="A13" s="11"/>
      <c r="B13" s="60" t="s">
        <v>99</v>
      </c>
      <c r="C13" s="168" t="s">
        <v>100</v>
      </c>
      <c r="D13" s="169"/>
      <c r="E13" s="61">
        <v>0.2</v>
      </c>
      <c r="F13" s="11"/>
      <c r="I13" s="36"/>
    </row>
    <row r="14" spans="1:9" x14ac:dyDescent="0.2">
      <c r="A14" s="11"/>
      <c r="B14" s="60" t="s">
        <v>101</v>
      </c>
      <c r="C14" s="168" t="s">
        <v>102</v>
      </c>
      <c r="D14" s="169"/>
      <c r="E14" s="61">
        <v>1.4999999999999999E-2</v>
      </c>
      <c r="F14" s="11"/>
      <c r="I14" s="36"/>
    </row>
    <row r="15" spans="1:9" x14ac:dyDescent="0.2">
      <c r="A15" s="11"/>
      <c r="B15" s="60" t="s">
        <v>103</v>
      </c>
      <c r="C15" s="168" t="s">
        <v>104</v>
      </c>
      <c r="D15" s="169"/>
      <c r="E15" s="61">
        <v>0.01</v>
      </c>
      <c r="F15" s="11"/>
    </row>
    <row r="16" spans="1:9" x14ac:dyDescent="0.2">
      <c r="A16" s="11"/>
      <c r="B16" s="60" t="s">
        <v>105</v>
      </c>
      <c r="C16" s="168" t="s">
        <v>106</v>
      </c>
      <c r="D16" s="169"/>
      <c r="E16" s="61">
        <v>2E-3</v>
      </c>
      <c r="F16" s="11"/>
    </row>
    <row r="17" spans="1:9" x14ac:dyDescent="0.2">
      <c r="A17" s="11"/>
      <c r="B17" s="60" t="s">
        <v>107</v>
      </c>
      <c r="C17" s="168" t="s">
        <v>108</v>
      </c>
      <c r="D17" s="169"/>
      <c r="E17" s="61">
        <v>6.0000000000000001E-3</v>
      </c>
      <c r="F17" s="11"/>
      <c r="I17" s="36"/>
    </row>
    <row r="18" spans="1:9" x14ac:dyDescent="0.2">
      <c r="A18" s="11"/>
      <c r="B18" s="60" t="s">
        <v>109</v>
      </c>
      <c r="C18" s="168" t="s">
        <v>155</v>
      </c>
      <c r="D18" s="169"/>
      <c r="E18" s="61">
        <v>2.5000000000000001E-2</v>
      </c>
      <c r="F18" s="11"/>
      <c r="I18" s="36"/>
    </row>
    <row r="19" spans="1:9" x14ac:dyDescent="0.2">
      <c r="A19" s="11"/>
      <c r="B19" s="60" t="s">
        <v>110</v>
      </c>
      <c r="C19" s="168" t="s">
        <v>167</v>
      </c>
      <c r="D19" s="169"/>
      <c r="E19" s="61">
        <v>0.03</v>
      </c>
      <c r="F19" s="11"/>
      <c r="I19" s="36"/>
    </row>
    <row r="20" spans="1:9" x14ac:dyDescent="0.2">
      <c r="A20" s="11"/>
      <c r="B20" s="60" t="s">
        <v>111</v>
      </c>
      <c r="C20" s="168" t="s">
        <v>112</v>
      </c>
      <c r="D20" s="169"/>
      <c r="E20" s="61">
        <v>0.08</v>
      </c>
      <c r="F20" s="11"/>
      <c r="I20" s="36"/>
    </row>
    <row r="21" spans="1:9" x14ac:dyDescent="0.2">
      <c r="A21" s="11"/>
      <c r="B21" s="60" t="s">
        <v>113</v>
      </c>
      <c r="C21" s="168" t="s">
        <v>114</v>
      </c>
      <c r="D21" s="169"/>
      <c r="E21" s="61">
        <v>0</v>
      </c>
      <c r="F21" s="11"/>
    </row>
    <row r="22" spans="1:9" x14ac:dyDescent="0.2">
      <c r="A22" s="11"/>
      <c r="B22" s="37" t="s">
        <v>115</v>
      </c>
      <c r="C22" s="178" t="s">
        <v>154</v>
      </c>
      <c r="D22" s="179"/>
      <c r="E22" s="38">
        <f>SUM(E13:E21)</f>
        <v>0.36800000000000005</v>
      </c>
      <c r="F22" s="11"/>
    </row>
    <row r="23" spans="1:9" x14ac:dyDescent="0.2">
      <c r="A23" s="11"/>
      <c r="B23" s="177" t="s">
        <v>150</v>
      </c>
      <c r="C23" s="177"/>
      <c r="D23" s="177"/>
      <c r="E23" s="177"/>
      <c r="F23" s="11"/>
      <c r="I23" s="36"/>
    </row>
    <row r="24" spans="1:9" x14ac:dyDescent="0.2">
      <c r="A24" s="11"/>
      <c r="B24" s="60" t="s">
        <v>116</v>
      </c>
      <c r="C24" s="62" t="s">
        <v>117</v>
      </c>
      <c r="D24" s="60"/>
      <c r="E24" s="61">
        <v>0.1794</v>
      </c>
      <c r="F24" s="11"/>
      <c r="I24" s="36"/>
    </row>
    <row r="25" spans="1:9" x14ac:dyDescent="0.2">
      <c r="A25" s="11"/>
      <c r="B25" s="60" t="s">
        <v>118</v>
      </c>
      <c r="C25" s="168" t="s">
        <v>119</v>
      </c>
      <c r="D25" s="169"/>
      <c r="E25" s="61">
        <v>4.2500000000000003E-2</v>
      </c>
      <c r="F25" s="11"/>
      <c r="I25" s="36"/>
    </row>
    <row r="26" spans="1:9" x14ac:dyDescent="0.2">
      <c r="A26" s="11"/>
      <c r="B26" s="60" t="s">
        <v>120</v>
      </c>
      <c r="C26" s="62" t="s">
        <v>121</v>
      </c>
      <c r="D26" s="60"/>
      <c r="E26" s="61">
        <v>9.1999999999999998E-3</v>
      </c>
      <c r="F26" s="11"/>
      <c r="I26" s="36"/>
    </row>
    <row r="27" spans="1:9" x14ac:dyDescent="0.2">
      <c r="A27" s="11"/>
      <c r="B27" s="60" t="s">
        <v>122</v>
      </c>
      <c r="C27" s="62" t="s">
        <v>158</v>
      </c>
      <c r="D27" s="60"/>
      <c r="E27" s="61">
        <v>0.1081</v>
      </c>
      <c r="F27" s="11"/>
    </row>
    <row r="28" spans="1:9" x14ac:dyDescent="0.2">
      <c r="A28" s="11"/>
      <c r="B28" s="60" t="s">
        <v>123</v>
      </c>
      <c r="C28" s="62" t="s">
        <v>124</v>
      </c>
      <c r="D28" s="60"/>
      <c r="E28" s="61">
        <v>6.9999999999999999E-4</v>
      </c>
      <c r="F28" s="11"/>
    </row>
    <row r="29" spans="1:9" x14ac:dyDescent="0.2">
      <c r="A29" s="11"/>
      <c r="B29" s="60" t="s">
        <v>125</v>
      </c>
      <c r="C29" s="62" t="s">
        <v>168</v>
      </c>
      <c r="D29" s="60"/>
      <c r="E29" s="61">
        <v>7.1999999999999998E-3</v>
      </c>
      <c r="F29" s="11"/>
      <c r="I29" s="36"/>
    </row>
    <row r="30" spans="1:9" x14ac:dyDescent="0.2">
      <c r="A30" s="11"/>
      <c r="B30" s="60" t="s">
        <v>126</v>
      </c>
      <c r="C30" s="62" t="s">
        <v>127</v>
      </c>
      <c r="D30" s="60"/>
      <c r="E30" s="61">
        <v>1.5299999999999999E-2</v>
      </c>
      <c r="F30" s="11"/>
      <c r="I30" s="36"/>
    </row>
    <row r="31" spans="1:9" x14ac:dyDescent="0.2">
      <c r="A31" s="11"/>
      <c r="B31" s="60" t="s">
        <v>128</v>
      </c>
      <c r="C31" s="62" t="s">
        <v>129</v>
      </c>
      <c r="D31" s="60"/>
      <c r="E31" s="61">
        <v>1.1000000000000001E-3</v>
      </c>
      <c r="F31" s="11"/>
      <c r="I31" s="36"/>
    </row>
    <row r="32" spans="1:9" x14ac:dyDescent="0.2">
      <c r="A32" s="11"/>
      <c r="B32" s="60" t="s">
        <v>130</v>
      </c>
      <c r="C32" s="62" t="s">
        <v>131</v>
      </c>
      <c r="D32" s="60"/>
      <c r="E32" s="61">
        <v>8.1100000000000005E-2</v>
      </c>
      <c r="F32" s="11"/>
      <c r="I32" s="36"/>
    </row>
    <row r="33" spans="1:9" x14ac:dyDescent="0.2">
      <c r="A33" s="11"/>
      <c r="B33" s="60" t="s">
        <v>132</v>
      </c>
      <c r="C33" s="62" t="s">
        <v>133</v>
      </c>
      <c r="D33" s="60"/>
      <c r="E33" s="61">
        <v>2.9999999999999997E-4</v>
      </c>
      <c r="F33" s="11"/>
    </row>
    <row r="34" spans="1:9" x14ac:dyDescent="0.2">
      <c r="A34" s="11"/>
      <c r="B34" s="37" t="s">
        <v>134</v>
      </c>
      <c r="C34" s="178" t="s">
        <v>154</v>
      </c>
      <c r="D34" s="179"/>
      <c r="E34" s="38">
        <f>SUM(E24:E33)</f>
        <v>0.44490000000000002</v>
      </c>
      <c r="F34" s="11"/>
    </row>
    <row r="35" spans="1:9" x14ac:dyDescent="0.2">
      <c r="A35" s="11"/>
      <c r="B35" s="177" t="s">
        <v>151</v>
      </c>
      <c r="C35" s="177"/>
      <c r="D35" s="177"/>
      <c r="E35" s="177"/>
      <c r="F35" s="11"/>
      <c r="I35" s="36"/>
    </row>
    <row r="36" spans="1:9" x14ac:dyDescent="0.2">
      <c r="A36" s="11"/>
      <c r="B36" s="60" t="s">
        <v>135</v>
      </c>
      <c r="C36" s="62" t="s">
        <v>136</v>
      </c>
      <c r="D36" s="60"/>
      <c r="E36" s="61">
        <v>4.7199999999999999E-2</v>
      </c>
      <c r="F36" s="11"/>
      <c r="I36" s="36"/>
    </row>
    <row r="37" spans="1:9" x14ac:dyDescent="0.2">
      <c r="A37" s="11"/>
      <c r="B37" s="60" t="s">
        <v>137</v>
      </c>
      <c r="C37" s="62" t="s">
        <v>138</v>
      </c>
      <c r="D37" s="60"/>
      <c r="E37" s="61">
        <v>1.1000000000000001E-3</v>
      </c>
      <c r="F37" s="11"/>
      <c r="I37" s="36"/>
    </row>
    <row r="38" spans="1:9" x14ac:dyDescent="0.2">
      <c r="A38" s="11"/>
      <c r="B38" s="60" t="s">
        <v>139</v>
      </c>
      <c r="C38" s="62" t="s">
        <v>140</v>
      </c>
      <c r="D38" s="60"/>
      <c r="E38" s="61">
        <v>4.7699999999999999E-2</v>
      </c>
      <c r="F38" s="11"/>
      <c r="I38" s="36"/>
    </row>
    <row r="39" spans="1:9" x14ac:dyDescent="0.2">
      <c r="A39" s="11"/>
      <c r="B39" s="60" t="s">
        <v>141</v>
      </c>
      <c r="C39" s="62" t="s">
        <v>142</v>
      </c>
      <c r="D39" s="60"/>
      <c r="E39" s="61">
        <v>4.58E-2</v>
      </c>
      <c r="F39" s="11"/>
    </row>
    <row r="40" spans="1:9" x14ac:dyDescent="0.2">
      <c r="A40" s="11"/>
      <c r="B40" s="60" t="s">
        <v>143</v>
      </c>
      <c r="C40" s="62" t="s">
        <v>144</v>
      </c>
      <c r="D40" s="60"/>
      <c r="E40" s="61">
        <v>4.0000000000000001E-3</v>
      </c>
      <c r="F40" s="11"/>
    </row>
    <row r="41" spans="1:9" x14ac:dyDescent="0.2">
      <c r="A41" s="11"/>
      <c r="B41" s="37" t="s">
        <v>145</v>
      </c>
      <c r="C41" s="178" t="s">
        <v>154</v>
      </c>
      <c r="D41" s="179"/>
      <c r="E41" s="38">
        <f>SUM(E36:E40)</f>
        <v>0.14580000000000001</v>
      </c>
      <c r="F41" s="11"/>
      <c r="I41" s="36"/>
    </row>
    <row r="42" spans="1:9" x14ac:dyDescent="0.2">
      <c r="A42" s="11"/>
      <c r="B42" s="177" t="s">
        <v>159</v>
      </c>
      <c r="C42" s="177"/>
      <c r="D42" s="177"/>
      <c r="E42" s="177"/>
      <c r="F42" s="11"/>
      <c r="I42" s="36"/>
    </row>
    <row r="43" spans="1:9" x14ac:dyDescent="0.2">
      <c r="A43" s="11"/>
      <c r="B43" s="60" t="s">
        <v>146</v>
      </c>
      <c r="C43" s="62" t="s">
        <v>147</v>
      </c>
      <c r="D43" s="60"/>
      <c r="E43" s="61">
        <f>E22*E34</f>
        <v>0.16372320000000004</v>
      </c>
      <c r="F43" s="11"/>
      <c r="I43" s="36"/>
    </row>
    <row r="44" spans="1:9" ht="28.5" customHeight="1" x14ac:dyDescent="0.2">
      <c r="A44" s="11"/>
      <c r="B44" s="60" t="s">
        <v>148</v>
      </c>
      <c r="C44" s="186" t="s">
        <v>161</v>
      </c>
      <c r="D44" s="186"/>
      <c r="E44" s="63">
        <f>E22*E37+E20*E36</f>
        <v>4.1808000000000001E-3</v>
      </c>
      <c r="F44" s="11"/>
      <c r="I44" s="36"/>
    </row>
    <row r="45" spans="1:9" x14ac:dyDescent="0.2">
      <c r="A45" s="11"/>
      <c r="B45" s="37" t="s">
        <v>149</v>
      </c>
      <c r="C45" s="178" t="s">
        <v>154</v>
      </c>
      <c r="D45" s="179"/>
      <c r="E45" s="38">
        <f>SUM(E43:E44)</f>
        <v>0.16790400000000005</v>
      </c>
      <c r="F45" s="11"/>
    </row>
    <row r="46" spans="1:9" x14ac:dyDescent="0.2">
      <c r="A46" s="11"/>
      <c r="B46" s="181" t="s">
        <v>160</v>
      </c>
      <c r="C46" s="182"/>
      <c r="D46" s="183"/>
      <c r="E46" s="39">
        <f>SUM(E45,E41,E34,E22)</f>
        <v>1.1266040000000002</v>
      </c>
      <c r="F46" s="11"/>
      <c r="G46" s="36"/>
    </row>
    <row r="47" spans="1:9" x14ac:dyDescent="0.2">
      <c r="A47" s="11"/>
      <c r="B47" s="11"/>
      <c r="C47" s="11"/>
      <c r="D47" s="11"/>
      <c r="E47" s="11"/>
      <c r="F47" s="11"/>
      <c r="I47" s="36"/>
    </row>
    <row r="48" spans="1:9" x14ac:dyDescent="0.2">
      <c r="A48" s="11"/>
      <c r="B48" s="77"/>
      <c r="C48" s="77"/>
      <c r="D48" s="77"/>
      <c r="E48" s="77"/>
      <c r="F48" s="11"/>
      <c r="I48" s="36"/>
    </row>
    <row r="49" spans="1:9" x14ac:dyDescent="0.2">
      <c r="A49" s="11"/>
      <c r="B49" s="40"/>
      <c r="C49" s="40"/>
      <c r="D49" s="11"/>
      <c r="E49" s="41"/>
      <c r="F49" s="11"/>
    </row>
    <row r="50" spans="1:9" x14ac:dyDescent="0.2">
      <c r="A50" s="11"/>
      <c r="C50" s="176"/>
      <c r="D50" s="176"/>
      <c r="E50" s="42"/>
      <c r="F50" s="11"/>
    </row>
    <row r="51" spans="1:9" x14ac:dyDescent="0.2">
      <c r="A51" s="11"/>
      <c r="C51" s="180" t="s">
        <v>172</v>
      </c>
      <c r="D51" s="180"/>
      <c r="E51" s="11"/>
      <c r="F51" s="11"/>
      <c r="I51" s="36"/>
    </row>
    <row r="52" spans="1:9" x14ac:dyDescent="0.2">
      <c r="A52" s="11"/>
      <c r="B52" s="11"/>
      <c r="C52" s="180" t="s">
        <v>177</v>
      </c>
      <c r="D52" s="180"/>
      <c r="E52" s="11"/>
      <c r="F52" s="11"/>
    </row>
    <row r="53" spans="1:9" x14ac:dyDescent="0.2">
      <c r="A53" s="11"/>
      <c r="B53" s="11"/>
      <c r="C53" s="11"/>
      <c r="D53" s="11"/>
      <c r="E53" s="11"/>
      <c r="F53" s="11"/>
      <c r="I53" s="36"/>
    </row>
    <row r="54" spans="1:9" x14ac:dyDescent="0.2">
      <c r="A54" s="11"/>
      <c r="B54" s="11"/>
      <c r="C54" s="11"/>
      <c r="D54" s="11"/>
      <c r="E54" s="11"/>
      <c r="F54" s="11"/>
    </row>
    <row r="55" spans="1:9" x14ac:dyDescent="0.2">
      <c r="A55" s="11"/>
      <c r="B55" s="11"/>
      <c r="C55" s="11"/>
      <c r="D55" s="11"/>
      <c r="E55" s="11"/>
      <c r="F55" s="11"/>
    </row>
    <row r="56" spans="1:9" x14ac:dyDescent="0.2">
      <c r="A56" s="11"/>
      <c r="B56" s="11"/>
      <c r="C56" s="11"/>
      <c r="D56" s="11"/>
      <c r="E56" s="11"/>
      <c r="F56" s="11"/>
    </row>
    <row r="57" spans="1:9" x14ac:dyDescent="0.2">
      <c r="I57" s="36"/>
    </row>
    <row r="59" spans="1:9" x14ac:dyDescent="0.2">
      <c r="I59" s="36"/>
    </row>
    <row r="63" spans="1:9" x14ac:dyDescent="0.2">
      <c r="I63" s="36"/>
    </row>
    <row r="64" spans="1:9" x14ac:dyDescent="0.2">
      <c r="I64" s="36"/>
    </row>
    <row r="65" spans="9:9" x14ac:dyDescent="0.2">
      <c r="I65" s="36"/>
    </row>
    <row r="66" spans="9:9" x14ac:dyDescent="0.2">
      <c r="I66" s="36"/>
    </row>
    <row r="69" spans="9:9" x14ac:dyDescent="0.2">
      <c r="I69" s="36"/>
    </row>
    <row r="70" spans="9:9" x14ac:dyDescent="0.2">
      <c r="I70" s="36"/>
    </row>
    <row r="71" spans="9:9" x14ac:dyDescent="0.2">
      <c r="I71" s="36"/>
    </row>
    <row r="72" spans="9:9" x14ac:dyDescent="0.2">
      <c r="I72" s="36"/>
    </row>
    <row r="75" spans="9:9" x14ac:dyDescent="0.2">
      <c r="I75" s="36"/>
    </row>
    <row r="76" spans="9:9" x14ac:dyDescent="0.2">
      <c r="I76" s="36"/>
    </row>
    <row r="77" spans="9:9" x14ac:dyDescent="0.2">
      <c r="I77" s="36"/>
    </row>
    <row r="78" spans="9:9" x14ac:dyDescent="0.2">
      <c r="I78" s="36"/>
    </row>
    <row r="81" spans="9:9" x14ac:dyDescent="0.2">
      <c r="I81" s="36"/>
    </row>
    <row r="82" spans="9:9" x14ac:dyDescent="0.2">
      <c r="I82" s="36"/>
    </row>
    <row r="83" spans="9:9" x14ac:dyDescent="0.2">
      <c r="I83" s="36"/>
    </row>
    <row r="84" spans="9:9" x14ac:dyDescent="0.2">
      <c r="I84" s="36"/>
    </row>
    <row r="87" spans="9:9" x14ac:dyDescent="0.2">
      <c r="I87" s="36"/>
    </row>
    <row r="89" spans="9:9" x14ac:dyDescent="0.2">
      <c r="I89" s="36"/>
    </row>
    <row r="93" spans="9:9" x14ac:dyDescent="0.2">
      <c r="I93" s="36"/>
    </row>
    <row r="94" spans="9:9" x14ac:dyDescent="0.2">
      <c r="I94" s="36"/>
    </row>
    <row r="95" spans="9:9" x14ac:dyDescent="0.2">
      <c r="I95" s="36"/>
    </row>
    <row r="96" spans="9:9" x14ac:dyDescent="0.2">
      <c r="I96" s="36"/>
    </row>
    <row r="99" spans="9:9" x14ac:dyDescent="0.2">
      <c r="I99" s="36"/>
    </row>
    <row r="100" spans="9:9" x14ac:dyDescent="0.2">
      <c r="I100" s="36"/>
    </row>
    <row r="101" spans="9:9" x14ac:dyDescent="0.2">
      <c r="I101" s="36"/>
    </row>
    <row r="102" spans="9:9" x14ac:dyDescent="0.2">
      <c r="I102" s="36"/>
    </row>
    <row r="105" spans="9:9" x14ac:dyDescent="0.2">
      <c r="I105" s="36"/>
    </row>
    <row r="106" spans="9:9" x14ac:dyDescent="0.2">
      <c r="I106" s="36"/>
    </row>
    <row r="107" spans="9:9" x14ac:dyDescent="0.2">
      <c r="I107" s="36"/>
    </row>
    <row r="108" spans="9:9" x14ac:dyDescent="0.2">
      <c r="I108" s="36"/>
    </row>
    <row r="111" spans="9:9" x14ac:dyDescent="0.2">
      <c r="I111" s="36"/>
    </row>
    <row r="112" spans="9:9" x14ac:dyDescent="0.2">
      <c r="I112" s="36"/>
    </row>
    <row r="113" spans="9:9" x14ac:dyDescent="0.2">
      <c r="I113" s="36"/>
    </row>
    <row r="114" spans="9:9" x14ac:dyDescent="0.2">
      <c r="I114" s="36"/>
    </row>
    <row r="117" spans="9:9" x14ac:dyDescent="0.2">
      <c r="I117" s="36"/>
    </row>
    <row r="118" spans="9:9" x14ac:dyDescent="0.2">
      <c r="I118" s="36"/>
    </row>
    <row r="119" spans="9:9" x14ac:dyDescent="0.2">
      <c r="I119" s="36"/>
    </row>
    <row r="120" spans="9:9" x14ac:dyDescent="0.2">
      <c r="I120" s="36"/>
    </row>
    <row r="123" spans="9:9" x14ac:dyDescent="0.2">
      <c r="I123" s="36"/>
    </row>
    <row r="124" spans="9:9" x14ac:dyDescent="0.2">
      <c r="I124" s="36"/>
    </row>
    <row r="125" spans="9:9" x14ac:dyDescent="0.2">
      <c r="I125" s="36"/>
    </row>
    <row r="126" spans="9:9" x14ac:dyDescent="0.2">
      <c r="I126" s="36"/>
    </row>
    <row r="129" spans="9:9" x14ac:dyDescent="0.2">
      <c r="I129" s="36"/>
    </row>
    <row r="130" spans="9:9" x14ac:dyDescent="0.2">
      <c r="I130" s="36"/>
    </row>
    <row r="131" spans="9:9" x14ac:dyDescent="0.2">
      <c r="I131" s="36"/>
    </row>
    <row r="132" spans="9:9" x14ac:dyDescent="0.2">
      <c r="I132" s="36"/>
    </row>
    <row r="135" spans="9:9" x14ac:dyDescent="0.2">
      <c r="I135" s="36"/>
    </row>
    <row r="136" spans="9:9" x14ac:dyDescent="0.2">
      <c r="I136" s="36"/>
    </row>
    <row r="137" spans="9:9" x14ac:dyDescent="0.2">
      <c r="I137" s="36"/>
    </row>
    <row r="138" spans="9:9" x14ac:dyDescent="0.2">
      <c r="I138" s="36"/>
    </row>
    <row r="141" spans="9:9" x14ac:dyDescent="0.2">
      <c r="I141" s="36"/>
    </row>
    <row r="142" spans="9:9" x14ac:dyDescent="0.2">
      <c r="I142" s="36"/>
    </row>
    <row r="143" spans="9:9" x14ac:dyDescent="0.2">
      <c r="I143" s="36"/>
    </row>
    <row r="144" spans="9:9" x14ac:dyDescent="0.2">
      <c r="I144" s="36"/>
    </row>
    <row r="147" spans="9:9" x14ac:dyDescent="0.2">
      <c r="I147" s="36"/>
    </row>
    <row r="148" spans="9:9" x14ac:dyDescent="0.2">
      <c r="I148" s="36"/>
    </row>
    <row r="149" spans="9:9" x14ac:dyDescent="0.2">
      <c r="I149" s="36"/>
    </row>
    <row r="150" spans="9:9" x14ac:dyDescent="0.2">
      <c r="I150" s="36"/>
    </row>
    <row r="153" spans="9:9" x14ac:dyDescent="0.2">
      <c r="I153" s="36"/>
    </row>
    <row r="154" spans="9:9" x14ac:dyDescent="0.2">
      <c r="I154" s="36"/>
    </row>
    <row r="155" spans="9:9" x14ac:dyDescent="0.2">
      <c r="I155" s="36"/>
    </row>
    <row r="156" spans="9:9" x14ac:dyDescent="0.2">
      <c r="I156" s="36"/>
    </row>
  </sheetData>
  <mergeCells count="30">
    <mergeCell ref="C52:D52"/>
    <mergeCell ref="B46:D46"/>
    <mergeCell ref="B8:C8"/>
    <mergeCell ref="D8:E8"/>
    <mergeCell ref="C44:D44"/>
    <mergeCell ref="C14:D14"/>
    <mergeCell ref="C15:D15"/>
    <mergeCell ref="C16:D16"/>
    <mergeCell ref="B48:E48"/>
    <mergeCell ref="C17:D17"/>
    <mergeCell ref="C18:D18"/>
    <mergeCell ref="C19:D19"/>
    <mergeCell ref="C20:D20"/>
    <mergeCell ref="C51:D51"/>
    <mergeCell ref="C22:D22"/>
    <mergeCell ref="C25:D25"/>
    <mergeCell ref="C50:D50"/>
    <mergeCell ref="B12:E12"/>
    <mergeCell ref="B23:E23"/>
    <mergeCell ref="B35:E35"/>
    <mergeCell ref="C21:D21"/>
    <mergeCell ref="B42:E42"/>
    <mergeCell ref="C34:D34"/>
    <mergeCell ref="C41:D41"/>
    <mergeCell ref="C45:D45"/>
    <mergeCell ref="C9:D11"/>
    <mergeCell ref="B9:B11"/>
    <mergeCell ref="B1:E1"/>
    <mergeCell ref="C13:D13"/>
    <mergeCell ref="B5:E6"/>
  </mergeCells>
  <pageMargins left="0.511811024" right="0.511811024" top="0.78740157499999996" bottom="0.78740157499999996" header="0.31496062000000002" footer="0.31496062000000002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7</vt:i4>
      </vt:variant>
    </vt:vector>
  </HeadingPairs>
  <TitlesOfParts>
    <vt:vector size="10" baseType="lpstr">
      <vt:lpstr>PREENCHER</vt:lpstr>
      <vt:lpstr>DECLARAÇÃO BDI</vt:lpstr>
      <vt:lpstr>ENCARGOS SOCIAIS</vt:lpstr>
      <vt:lpstr>'DECLARAÇÃO BDI'!Area_de_impressao</vt:lpstr>
      <vt:lpstr>PREENCHER!Area_de_impressao</vt:lpstr>
      <vt:lpstr>BASEDECALCULO</vt:lpstr>
      <vt:lpstr>CREACAU</vt:lpstr>
      <vt:lpstr>ENCARGOS</vt:lpstr>
      <vt:lpstr>ente</vt:lpstr>
      <vt:lpstr>regime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23914</cp:lastModifiedBy>
  <cp:lastPrinted>2019-11-05T11:42:39Z</cp:lastPrinted>
  <dcterms:created xsi:type="dcterms:W3CDTF">1997-01-10T22:22:50Z</dcterms:created>
  <dcterms:modified xsi:type="dcterms:W3CDTF">2019-11-05T11:44:03Z</dcterms:modified>
</cp:coreProperties>
</file>