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7" i="8" l="1"/>
  <c r="E54" i="8" l="1"/>
  <c r="E53" i="8"/>
  <c r="C74" i="8"/>
  <c r="C75" i="8" s="1"/>
  <c r="E72" i="8" s="1"/>
  <c r="E71" i="8"/>
  <c r="E70" i="8"/>
  <c r="E69" i="8"/>
  <c r="E66" i="8"/>
  <c r="E51" i="8"/>
  <c r="E38" i="8"/>
  <c r="D45" i="8" l="1"/>
  <c r="D40" i="8"/>
  <c r="E48" i="8" l="1"/>
  <c r="E62" i="10" l="1"/>
  <c r="E67" i="8" l="1"/>
  <c r="E76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40" i="8"/>
  <c r="E64" i="8"/>
  <c r="D126" i="8"/>
  <c r="D101" i="8"/>
  <c r="E45" i="8"/>
  <c r="E58" i="8" s="1"/>
  <c r="D161" i="8"/>
  <c r="D163" i="8"/>
  <c r="D166" i="8" s="1"/>
  <c r="D100" i="8"/>
  <c r="D93" i="8"/>
  <c r="D91" i="8"/>
  <c r="D90" i="8"/>
  <c r="D89" i="8"/>
  <c r="D88" i="8"/>
  <c r="D87" i="8"/>
  <c r="D86" i="8"/>
  <c r="D21" i="8"/>
  <c r="E12" i="8"/>
  <c r="C79" i="8" l="1"/>
  <c r="E78" i="8" s="1"/>
  <c r="E80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5" i="8"/>
  <c r="D102" i="8"/>
  <c r="D94" i="8"/>
  <c r="D139" i="8" s="1"/>
  <c r="E42" i="8"/>
  <c r="E86" i="8" l="1"/>
  <c r="E128" i="8"/>
  <c r="E174" i="8"/>
  <c r="E144" i="8"/>
  <c r="E126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10" i="8"/>
  <c r="E112" i="8" s="1"/>
  <c r="E141" i="8" s="1"/>
  <c r="E118" i="8"/>
  <c r="D118" i="8" s="1"/>
  <c r="E87" i="8"/>
  <c r="E93" i="8"/>
  <c r="E127" i="8"/>
  <c r="D127" i="8" s="1"/>
  <c r="E129" i="8"/>
  <c r="D129" i="8" s="1"/>
  <c r="E121" i="8"/>
  <c r="D121" i="8" s="1"/>
  <c r="E91" i="8"/>
  <c r="E130" i="8"/>
  <c r="D130" i="8" s="1"/>
  <c r="E173" i="8"/>
  <c r="E116" i="8"/>
  <c r="E117" i="8" s="1"/>
  <c r="D117" i="8" s="1"/>
  <c r="E88" i="8"/>
  <c r="D112" i="8"/>
  <c r="D141" i="8" s="1"/>
  <c r="E92" i="8"/>
  <c r="E100" i="8"/>
  <c r="E90" i="8"/>
  <c r="E132" i="8"/>
  <c r="E119" i="8"/>
  <c r="E120" i="8" s="1"/>
  <c r="D120" i="8" s="1"/>
  <c r="E89" i="8"/>
  <c r="D131" i="8"/>
  <c r="E101" i="8"/>
  <c r="E175" i="8"/>
  <c r="E133" i="8" l="1"/>
  <c r="E134" i="8" s="1"/>
  <c r="D134" i="8" s="1"/>
  <c r="E94" i="8"/>
  <c r="E139" i="8" s="1"/>
  <c r="E122" i="10"/>
  <c r="E130" i="10" s="1"/>
  <c r="E133" i="10" s="1"/>
  <c r="D133" i="8"/>
  <c r="D119" i="8"/>
  <c r="E102" i="8"/>
  <c r="E103" i="8" s="1"/>
  <c r="D103" i="8" s="1"/>
  <c r="D105" i="8" s="1"/>
  <c r="D140" i="8" s="1"/>
  <c r="E122" i="8"/>
  <c r="E142" i="8" s="1"/>
  <c r="D116" i="8"/>
  <c r="D135" i="8" l="1"/>
  <c r="D143" i="8" s="1"/>
  <c r="D122" i="8"/>
  <c r="D142" i="8" s="1"/>
  <c r="E163" i="10"/>
  <c r="E164" i="10" s="1"/>
  <c r="E137" i="10"/>
  <c r="E138" i="10" s="1"/>
  <c r="E151" i="10" s="1"/>
  <c r="E152" i="10" s="1"/>
  <c r="E105" i="8"/>
  <c r="E140" i="8" s="1"/>
  <c r="E135" i="8"/>
  <c r="E143" i="8" s="1"/>
  <c r="D146" i="8" l="1"/>
  <c r="E146" i="8"/>
  <c r="E176" i="8" s="1"/>
  <c r="E177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50" i="8" l="1"/>
  <c r="E151" i="8" s="1"/>
  <c r="E164" i="8" s="1"/>
  <c r="E165" i="8" s="1"/>
  <c r="E162" i="8" l="1"/>
  <c r="E163" i="8"/>
  <c r="E166" i="8" s="1"/>
  <c r="E178" i="8" s="1"/>
  <c r="E179" i="8" s="1"/>
  <c r="E180" i="8" s="1"/>
  <c r="E156" i="8"/>
  <c r="E161" i="8"/>
  <c r="E155" i="8"/>
  <c r="E153" i="8"/>
  <c r="E160" i="8"/>
  <c r="E159" i="8"/>
  <c r="E157" i="8"/>
  <c r="E154" i="8"/>
  <c r="E158" i="8" s="1"/>
</calcChain>
</file>

<file path=xl/comments1.xml><?xml version="1.0" encoding="utf-8"?>
<comments xmlns="http://schemas.openxmlformats.org/spreadsheetml/2006/main">
  <authors>
    <author>gparodes</author>
  </authors>
  <commentList>
    <comment ref="B118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<sst xmlns="http://schemas.openxmlformats.org/spreadsheetml/2006/main" count="584" uniqueCount="214">
  <si>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</si>
  <si>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</si>
  <si>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</si>
  <si>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</si>
  <si>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</si>
  <si>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</si>
  <si>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</si>
  <si>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</si>
  <si>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</si>
  <si>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</si>
  <si>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</si>
  <si>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</si>
  <si>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</si>
  <si>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</si>
  <si>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</si>
  <si>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</si>
  <si>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</si>
  <si>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</si>
  <si>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</si>
  <si>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</si>
  <si>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</si>
  <si>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</si>
  <si>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</si>
  <si>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</si>
  <si>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</si>
  <si>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</si>
  <si>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</si>
  <si>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</si>
  <si>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</si>
  <si>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</si>
  <si>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</si>
  <si>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</si>
  <si>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</si>
  <si>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</si>
  <si>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</si>
  <si>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</si>
  <si>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</si>
  <si>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</si>
  <si>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</si>
  <si>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</si>
  <si>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</si>
  <si>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</si>
  <si>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</si>
  <si>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</si>
  <si>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</si>
  <si>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</si>
  <si>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</si>
  <si>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</si>
  <si>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</si>
  <si>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</si>
  <si>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</si>
  <si>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</si>
  <si>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</si>
  <si>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</si>
  <si>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</si>
  <si>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</si>
  <si>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</si>
  <si>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</si>
  <si>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</si>
  <si>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</si>
  <si>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</si>
  <si>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</si>
  <si>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</si>
  <si>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</si>
  <si>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</si>
  <si>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</si>
  <si>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</si>
  <si>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</si>
  <si>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</si>
  <si>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</si>
  <si>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</si>
  <si>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</si>
  <si>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</si>
  <si>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</si>
  <si>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</si>
  <si>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</si>
  <si>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</si>
  <si>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</si>
  <si>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</si>
  <si>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</si>
  <si>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</si>
  <si>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</si>
  <si>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</si>
  <si>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</si>
  <si>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</si>
  <si>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</si>
  <si>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</si>
  <si>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</si>
  <si>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</si>
  <si>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</si>
  <si>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</si>
  <si>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</si>
  <si>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</si>
  <si>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</si>
  <si>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</si>
  <si>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</si>
  <si>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</si>
  <si>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</si>
  <si>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</si>
  <si>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</si>
  <si>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</si>
  <si>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</si>
  <si>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</si>
  <si>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</si>
  <si>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</si>
  <si>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</si>
  <si>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</si>
  <si>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</si>
  <si>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</si>
  <si>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</si>
  <si>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</si>
  <si>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</si>
  <si>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</si>
  <si>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</si>
  <si>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</si>
  <si>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</si>
  <si>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</si>
  <si>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</si>
  <si>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</si>
  <si>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</si>
  <si>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</si>
  <si>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</si>
  <si>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</si>
  <si>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</si>
  <si>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</si>
  <si>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</si>
  <si>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</si>
  <si>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</si>
  <si>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</si>
  <si>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</si>
  <si>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</si>
  <si>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</si>
  <si>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</si>
  <si>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</si>
  <si>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</si>
  <si>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</si>
  <si>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</si>
  <si>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</si>
  <si>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</si>
  <si>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</si>
  <si>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</si>
  <si>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</si>
  <si>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</si>
  <si>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</si>
  <si>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</si>
  <si>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</si>
  <si>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</si>
  <si>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</si>
  <si>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</si>
  <si>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</si>
  <si>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</si>
  <si>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</si>
  <si>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</si>
  <si>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</si>
  <si>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</si>
  <si>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</si>
  <si>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</si>
  <si>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</si>
  <si>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</si>
  <si>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</si>
  <si>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</si>
  <si>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</si>
  <si>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</si>
  <si>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</si>
  <si>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</si>
  <si>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</si>
  <si>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</si>
  <si>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</si>
  <si>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</si>
  <si>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</si>
  <si>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</si>
  <si>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</si>
  <si>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</si>
  <si>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</si>
  <si>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</si>
  <si>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</si>
  <si>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</si>
  <si>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</si>
  <si>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</si>
  <si>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</si>
  <si>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</si>
  <si>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</si>
  <si>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</si>
  <si>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</si>
  <si>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</si>
  <si>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</si>
  <si>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</si>
  <si>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</si>
  <si>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</si>
  <si>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</si>
  <si>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</si>
  <si>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</si>
  <si>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</si>
  <si>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</si>
  <si>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</si>
  <si>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</si>
  <si>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</si>
  <si>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</si>
  <si>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</si>
  <si>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</si>
  <si>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</si>
  <si>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</si>
  <si>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</si>
  <si>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</si>
  <si>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</si>
  <si>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</si>
  <si>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</si>
  <si>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</si>
  <si>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Transporte escolar</t>
  </si>
  <si>
    <t>Planilha de Custos e Formação de Preços -Balneario Mostardenses 2 vezes nas semana</t>
  </si>
  <si>
    <t>Planilha de Custos e Formação de Preços -Teixerias 1 vezes nas semana</t>
  </si>
  <si>
    <t>Planilha de Custos e Formação de Preços -Rincão do C. Pereiras 1 vezes nas semana</t>
  </si>
  <si>
    <t>Planilha de Custos e Formação de Preços -Mina, Pontal e beco Colodianas 1 vezes nas semana</t>
  </si>
  <si>
    <t>CCT2025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</si>
</sst>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 &quot;R$&quot;\ * #,##0.00_ ;_ &quot;R$&quot;\ * \-#,##0.00_ ;_ &quot;R$&quot;\ * &quot;-&quot;??_ ;_ @_ "/>
    <numFmt numFmtId="165" formatCode="_ * #,##0.00_ ;_ * \-#,##0.00_ ;_ * &quot;-&quot;??_ ;_ @_ "/>
    <numFmt numFmtId="166" formatCode="&quot;R$ &quot;#,##0.00_);\(&quot;R$ &quot;#,##0.00\)"/>
    <numFmt numFmtId="167" formatCode="_(&quot;R$ &quot;* #,##0.00_);_(&quot;R$ &quot;* \(#,##0.00\);_(&quot;R$ &quot;* &quot;-&quot;??_);_(@_)"/>
    <numFmt numFmtId="168" formatCode="_(* #,##0.00_);_(* \(#,##0.00\);_(* &quot;-&quot;??_);_(@_)"/>
    <numFmt numFmtId="169" formatCode="&quot;R$ &quot;#,##0.00"/>
    <numFmt numFmtId="170" formatCode="h:mm;@"/>
    <numFmt numFmtId="171" formatCode="_(* #,##0_);_(* \(#,##0\);_(* &quot;-&quot;??_);_(@_)"/>
    <numFmt numFmtId="172" formatCode="0.000%"/>
    <numFmt numFmtId="173" formatCode="0.0000%"/>
    <numFmt numFmtId="174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493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6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6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6" fontId="0" fillId="2" borderId="1" xfId="0" applyNumberFormat="1" applyFill="1" applyBorder="1" applyAlignment="1" applyProtection="1">
      <alignment horizontal="distributed"/>
    </xf>
    <xf numFmtId="166" fontId="0" fillId="2" borderId="1" xfId="0" applyNumberFormat="1" applyFont="1" applyFill="1" applyBorder="1" applyAlignment="1" applyProtection="1">
      <alignment horizontal="distributed"/>
    </xf>
    <xf numFmtId="166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distributed" vertical="center"/>
    </xf>
    <xf numFmtId="166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70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6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71" fontId="15" fillId="0" borderId="1" xfId="3" applyNumberFormat="1" applyFont="1" applyBorder="1" applyAlignment="1" applyProtection="1">
      <alignment horizontal="distributed"/>
      <protection locked="0"/>
    </xf>
    <xf numFmtId="166" fontId="21" fillId="0" borderId="1" xfId="0" applyNumberFormat="1" applyFont="1" applyFill="1" applyBorder="1" applyAlignment="1" applyProtection="1">
      <alignment horizontal="distributed" vertical="distributed" justifyLastLine="1"/>
    </xf>
    <xf numFmtId="166" fontId="15" fillId="0" borderId="1" xfId="0" applyNumberFormat="1" applyFont="1" applyFill="1" applyBorder="1" applyAlignment="1" applyProtection="1">
      <alignment horizontal="distributed" vertical="center"/>
    </xf>
    <xf numFmtId="166" fontId="22" fillId="0" borderId="1" xfId="0" applyNumberFormat="1" applyFont="1" applyFill="1" applyBorder="1" applyAlignment="1" applyProtection="1">
      <alignment horizontal="distributed" vertical="center"/>
    </xf>
    <xf numFmtId="166" fontId="19" fillId="0" borderId="1" xfId="0" applyNumberFormat="1" applyFont="1" applyFill="1" applyBorder="1" applyAlignment="1" applyProtection="1">
      <alignment horizontal="distributed" vertical="center"/>
    </xf>
    <xf numFmtId="172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9" fontId="0" fillId="5" borderId="1" xfId="0" applyNumberFormat="1" applyFill="1" applyBorder="1" applyAlignment="1" applyProtection="1">
      <alignment horizontal="distributed"/>
    </xf>
    <xf numFmtId="166" fontId="0" fillId="5" borderId="1" xfId="0" applyNumberFormat="1" applyFill="1" applyBorder="1" applyAlignment="1" applyProtection="1">
      <alignment horizontal="distributed" vertical="center"/>
    </xf>
    <xf numFmtId="173" fontId="19" fillId="5" borderId="1" xfId="2" applyNumberFormat="1" applyFont="1" applyFill="1" applyBorder="1" applyAlignment="1" applyProtection="1">
      <alignment horizontal="center" vertical="center"/>
      <protection locked="0"/>
    </xf>
    <xf numFmtId="166" fontId="0" fillId="0" borderId="1" xfId="0" applyNumberFormat="1" applyFill="1" applyBorder="1" applyAlignment="1" applyProtection="1">
      <alignment horizontal="distributed" vertical="center"/>
      <protection locked="0"/>
    </xf>
    <xf numFmtId="169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6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9" fontId="15" fillId="0" borderId="1" xfId="0" applyNumberFormat="1" applyFont="1" applyFill="1" applyBorder="1" applyAlignment="1" applyProtection="1">
      <alignment horizontal="distributed"/>
      <protection locked="0"/>
    </xf>
    <xf numFmtId="169" fontId="18" fillId="5" borderId="1" xfId="0" applyNumberFormat="1" applyFont="1" applyFill="1" applyBorder="1" applyAlignment="1" applyProtection="1">
      <alignment horizontal="distributed" vertical="justify" justifyLastLine="1"/>
    </xf>
    <xf numFmtId="166" fontId="15" fillId="0" borderId="1" xfId="0" applyNumberFormat="1" applyFont="1" applyFill="1" applyBorder="1" applyAlignment="1" applyProtection="1">
      <alignment horizontal="distributed" vertical="center"/>
      <protection locked="0"/>
    </xf>
    <xf numFmtId="166" fontId="13" fillId="5" borderId="1" xfId="0" applyNumberFormat="1" applyFont="1" applyFill="1" applyBorder="1" applyAlignment="1" applyProtection="1">
      <alignment horizontal="center"/>
    </xf>
    <xf numFmtId="166" fontId="21" fillId="0" borderId="6" xfId="0" applyNumberFormat="1" applyFont="1" applyBorder="1" applyAlignment="1" applyProtection="1">
      <alignment horizontal="distributed"/>
    </xf>
    <xf numFmtId="166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7" fontId="12" fillId="0" borderId="1" xfId="0" applyNumberFormat="1" applyFont="1" applyBorder="1" applyAlignment="1" applyProtection="1">
      <alignment horizontal="distributed" vertical="distributed"/>
    </xf>
    <xf numFmtId="167" fontId="14" fillId="3" borderId="1" xfId="1" applyFont="1" applyFill="1" applyBorder="1" applyAlignment="1" applyProtection="1">
      <alignment horizontal="justify" vertical="center"/>
    </xf>
    <xf numFmtId="167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7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7" fontId="0" fillId="0" borderId="0" xfId="0" applyNumberFormat="1" applyProtection="1"/>
    <xf numFmtId="166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6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7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6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4" fontId="15" fillId="8" borderId="1" xfId="1" applyNumberFormat="1" applyFont="1" applyFill="1" applyBorder="1" applyAlignment="1" applyProtection="1">
      <alignment horizontal="center"/>
    </xf>
    <xf numFmtId="167" fontId="15" fillId="8" borderId="1" xfId="1" applyFont="1" applyFill="1" applyBorder="1" applyAlignment="1" applyProtection="1"/>
    <xf numFmtId="167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7" fontId="25" fillId="0" borderId="0" xfId="0" applyNumberFormat="1" applyFont="1" applyProtection="1"/>
    <xf numFmtId="166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6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6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70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7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7" fontId="37" fillId="0" borderId="1" xfId="0" applyNumberFormat="1" applyFont="1" applyBorder="1" applyAlignment="1" applyProtection="1">
      <alignment horizontal="distributed" vertical="distributed"/>
    </xf>
    <xf numFmtId="166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9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6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9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9" fontId="29" fillId="0" borderId="1" xfId="0" applyNumberFormat="1" applyFont="1" applyFill="1" applyBorder="1" applyAlignment="1" applyProtection="1">
      <alignment horizontal="distributed"/>
      <protection locked="0"/>
    </xf>
    <xf numFmtId="169" fontId="29" fillId="0" borderId="1" xfId="0" applyNumberFormat="1" applyFont="1" applyBorder="1" applyAlignment="1" applyProtection="1">
      <alignment horizontal="distributed"/>
      <protection locked="0"/>
    </xf>
    <xf numFmtId="171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6" fontId="38" fillId="8" borderId="1" xfId="0" applyNumberFormat="1" applyFont="1" applyFill="1" applyBorder="1" applyAlignment="1" applyProtection="1">
      <alignment horizontal="distributed" vertical="center"/>
      <protection locked="0"/>
    </xf>
    <xf numFmtId="166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4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7" fontId="29" fillId="8" borderId="1" xfId="1" applyFont="1" applyFill="1" applyBorder="1" applyAlignment="1" applyProtection="1"/>
    <xf numFmtId="167" fontId="31" fillId="3" borderId="1" xfId="1" applyFont="1" applyFill="1" applyBorder="1" applyAlignment="1" applyProtection="1">
      <alignment horizontal="justify" vertical="center"/>
    </xf>
    <xf numFmtId="167" fontId="29" fillId="8" borderId="1" xfId="1" applyFont="1" applyFill="1" applyBorder="1" applyAlignment="1" applyProtection="1">
      <protection locked="0"/>
    </xf>
    <xf numFmtId="167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7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6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6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6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6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6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6" fontId="40" fillId="0" borderId="1" xfId="0" applyNumberFormat="1" applyFont="1" applyFill="1" applyBorder="1" applyAlignment="1" applyProtection="1">
      <alignment horizontal="distributed" vertical="center"/>
    </xf>
    <xf numFmtId="166" fontId="33" fillId="0" borderId="1" xfId="0" applyNumberFormat="1" applyFont="1" applyFill="1" applyBorder="1" applyAlignment="1" applyProtection="1">
      <alignment horizontal="distributed" vertical="center"/>
    </xf>
    <xf numFmtId="166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6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6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6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6" fontId="41" fillId="0" borderId="1" xfId="0" applyNumberFormat="1" applyFont="1" applyFill="1" applyBorder="1" applyAlignment="1" applyProtection="1">
      <alignment horizontal="distributed" vertical="distributed" justifyLastLine="1"/>
    </xf>
    <xf numFmtId="172" fontId="40" fillId="0" borderId="1" xfId="2" applyNumberFormat="1" applyFont="1" applyBorder="1" applyAlignment="1" applyProtection="1">
      <alignment horizontal="center"/>
      <protection locked="0"/>
    </xf>
    <xf numFmtId="166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3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6" fontId="31" fillId="0" borderId="1" xfId="0" applyNumberFormat="1" applyFont="1" applyFill="1" applyBorder="1" applyAlignment="1" applyProtection="1">
      <alignment horizontal="distributed"/>
    </xf>
    <xf numFmtId="166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164" fontId="15" fillId="0" borderId="1" xfId="0" applyNumberFormat="1" applyFont="1" applyBorder="1" applyAlignment="1" applyProtection="1">
      <alignment horizontal="right"/>
      <protection locked="0"/>
    </xf>
    <xf numFmtId="167" fontId="14" fillId="3" borderId="5" xfId="1" applyFont="1" applyFill="1" applyBorder="1" applyAlignment="1" applyProtection="1">
      <alignment horizontal="justify" vertical="center"/>
    </xf>
    <xf numFmtId="167" fontId="16" fillId="6" borderId="1" xfId="1" applyFont="1" applyFill="1" applyBorder="1" applyAlignment="1" applyProtection="1">
      <alignment horizontal="center"/>
    </xf>
    <xf numFmtId="165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7" fontId="12" fillId="0" borderId="1" xfId="1" applyFont="1" applyBorder="1" applyAlignment="1" applyProtection="1">
      <protection locked="0"/>
    </xf>
    <xf numFmtId="167" fontId="0" fillId="0" borderId="0" xfId="1" applyFont="1" applyProtection="1"/>
    <xf numFmtId="2" fontId="0" fillId="0" borderId="0" xfId="0" applyNumberFormat="1" applyProtection="1"/>
    <xf numFmtId="165" fontId="0" fillId="0" borderId="0" xfId="0" applyNumberFormat="1" applyProtection="1"/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7" fontId="22" fillId="6" borderId="5" xfId="1" applyFont="1" applyFill="1" applyBorder="1" applyAlignment="1" applyProtection="1">
      <alignment horizontal="center" vertical="center"/>
      <protection locked="0"/>
    </xf>
    <xf numFmtId="167" fontId="22" fillId="6" borderId="8" xfId="1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6" fontId="15" fillId="0" borderId="5" xfId="0" applyNumberFormat="1" applyFont="1" applyFill="1" applyBorder="1" applyAlignment="1" applyProtection="1">
      <alignment horizontal="distributed" vertical="center"/>
    </xf>
    <xf numFmtId="166" fontId="15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7" fontId="14" fillId="3" borderId="5" xfId="1" applyFont="1" applyFill="1" applyBorder="1" applyAlignment="1" applyProtection="1">
      <alignment horizontal="center" vertical="center"/>
    </xf>
    <xf numFmtId="167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7" fontId="14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6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6" fontId="0" fillId="0" borderId="5" xfId="0" applyNumberFormat="1" applyFill="1" applyBorder="1" applyAlignment="1" applyProtection="1">
      <alignment horizontal="right" vertical="center"/>
    </xf>
    <xf numFmtId="166" fontId="0" fillId="0" borderId="14" xfId="0" applyNumberFormat="1" applyFill="1" applyBorder="1" applyAlignment="1" applyProtection="1">
      <alignment horizontal="right" vertical="center"/>
    </xf>
    <xf numFmtId="166" fontId="0" fillId="0" borderId="8" xfId="0" applyNumberFormat="1" applyFill="1" applyBorder="1" applyAlignment="1" applyProtection="1">
      <alignment horizontal="right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6" fontId="12" fillId="0" borderId="5" xfId="0" applyNumberFormat="1" applyFont="1" applyBorder="1" applyAlignment="1" applyProtection="1">
      <alignment horizontal="distributed" vertical="distributed" justifyLastLine="1"/>
    </xf>
    <xf numFmtId="166" fontId="12" fillId="0" borderId="8" xfId="0" applyNumberFormat="1" applyFont="1" applyBorder="1" applyAlignment="1" applyProtection="1">
      <alignment horizontal="distributed" vertical="distributed" justifyLastLine="1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8" fillId="0" borderId="0" xfId="0" applyFont="1" applyAlignment="1" applyProtection="1">
      <alignment horizontal="center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</xf>
    <xf numFmtId="0" fontId="9" fillId="2" borderId="4" xfId="0" applyFont="1" applyFill="1" applyBorder="1" applyAlignment="1" applyProtection="1">
      <alignment horizontal="left"/>
    </xf>
    <xf numFmtId="0" fontId="9" fillId="2" borderId="7" xfId="0" applyFont="1" applyFill="1" applyBorder="1" applyAlignment="1" applyProtection="1">
      <alignment horizontal="left"/>
    </xf>
    <xf numFmtId="0" fontId="9" fillId="2" borderId="9" xfId="0" applyFont="1" applyFill="1" applyBorder="1" applyAlignment="1" applyProtection="1">
      <alignment horizontal="left"/>
    </xf>
    <xf numFmtId="0" fontId="23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7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7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/>
    </xf>
    <xf numFmtId="0" fontId="27" fillId="2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31" fillId="0" borderId="9" xfId="0" applyFont="1" applyBorder="1" applyAlignment="1" applyProtection="1">
      <alignment horizontal="left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27" fillId="0" borderId="0" xfId="0" applyFont="1" applyAlignment="1" applyProtection="1">
      <alignment horizontal="center"/>
    </xf>
    <xf numFmtId="0" fontId="27" fillId="4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27" fillId="0" borderId="5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 vertical="center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6" fontId="29" fillId="0" borderId="5" xfId="0" applyNumberFormat="1" applyFont="1" applyFill="1" applyBorder="1" applyAlignment="1" applyProtection="1">
      <alignment horizontal="distributed" vertical="center"/>
    </xf>
    <xf numFmtId="166" fontId="29" fillId="0" borderId="8" xfId="0" applyNumberFormat="1" applyFont="1" applyFill="1" applyBorder="1" applyAlignment="1" applyProtection="1">
      <alignment horizontal="distributed" vertical="center"/>
    </xf>
    <xf numFmtId="0" fontId="27" fillId="2" borderId="9" xfId="0" applyFont="1" applyFill="1" applyBorder="1" applyAlignment="1" applyProtection="1">
      <alignment horizontal="center"/>
    </xf>
    <xf numFmtId="0" fontId="31" fillId="5" borderId="1" xfId="0" applyFont="1" applyFill="1" applyBorder="1" applyAlignment="1" applyProtection="1">
      <alignment horizontal="left" vertical="center"/>
    </xf>
    <xf numFmtId="0" fontId="31" fillId="7" borderId="1" xfId="0" applyFont="1" applyFill="1" applyBorder="1" applyAlignment="1" applyProtection="1">
      <alignment horizontal="left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167" fontId="33" fillId="6" borderId="5" xfId="1" applyFont="1" applyFill="1" applyBorder="1" applyAlignment="1" applyProtection="1">
      <alignment horizontal="center" vertical="center"/>
      <protection locked="0"/>
    </xf>
    <xf numFmtId="167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7" fontId="31" fillId="3" borderId="5" xfId="1" applyFont="1" applyFill="1" applyBorder="1" applyAlignment="1" applyProtection="1">
      <alignment horizontal="center" vertical="center"/>
    </xf>
    <xf numFmtId="167" fontId="31" fillId="3" borderId="8" xfId="1" applyFont="1" applyFill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27" fillId="0" borderId="14" xfId="0" applyFont="1" applyBorder="1" applyAlignment="1" applyProtection="1">
      <alignment horizontal="center" vertical="center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6" fontId="31" fillId="0" borderId="5" xfId="0" applyNumberFormat="1" applyFont="1" applyFill="1" applyBorder="1" applyAlignment="1" applyProtection="1">
      <alignment horizontal="distributed" vertical="center"/>
    </xf>
    <xf numFmtId="166" fontId="31" fillId="0" borderId="14" xfId="0" applyNumberFormat="1" applyFont="1" applyFill="1" applyBorder="1" applyAlignment="1" applyProtection="1">
      <alignment horizontal="distributed" vertical="center"/>
    </xf>
    <xf numFmtId="166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6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6" fontId="37" fillId="0" borderId="5" xfId="0" applyNumberFormat="1" applyFont="1" applyBorder="1" applyAlignment="1" applyProtection="1">
      <alignment horizontal="distributed" vertical="distributed" justifyLastLine="1"/>
    </xf>
    <xf numFmtId="166" fontId="37" fillId="0" borderId="8" xfId="0" applyNumberFormat="1" applyFont="1" applyBorder="1" applyAlignment="1" applyProtection="1">
      <alignment horizontal="distributed" vertical="distributed" justifyLastLine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27" fillId="3" borderId="1" xfId="0" applyFont="1" applyFill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11</xdr:row>
      <xdr:rowOff>28575</xdr:rowOff>
    </xdr:from>
    <xdr:to>
      <xdr:col>3</xdr:col>
      <xdr:colOff>997458</xdr:colOff>
      <xdr:row>11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N187"/>
  <sheetViews>
    <sheetView tabSelected="1" topLeftCell="A172" workbookViewId="0">
      <selection activeCell="J29" sqref="J29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32.85546875" style="4" customWidth="1"/>
    <col min="6" max="6" width="17.42578125" style="4" customWidth="1"/>
    <col min="7" max="10" width="9.140625" style="4"/>
    <col min="11" max="11" width="14.28515625" style="224" bestFit="1" customWidth="1"/>
    <col min="12" max="12" width="10.5703125" style="4" bestFit="1" customWidth="1"/>
    <col min="13" max="13" width="14.28515625" style="4" customWidth="1"/>
    <col min="14" max="16384" width="9.140625" style="4"/>
  </cols>
  <sheetData>
    <row r="1" spans="1:14" ht="42.75" customHeight="1" x14ac:dyDescent="0.3">
      <c r="A1" s="349" t="s">
        <v>187</v>
      </c>
      <c r="B1" s="349"/>
      <c r="C1" s="349"/>
      <c r="D1" s="349"/>
      <c r="E1" s="349"/>
    </row>
    <row r="2" spans="1:14" ht="30.75" customHeight="1" x14ac:dyDescent="0.35">
      <c r="A2" s="339"/>
      <c r="B2" s="339"/>
      <c r="C2" s="339"/>
      <c r="D2" s="339"/>
      <c r="E2" s="339"/>
    </row>
    <row r="3" spans="1:14" ht="18.75" x14ac:dyDescent="0.3">
      <c r="A3" s="346" t="s">
        <v>209</v>
      </c>
      <c r="B3" s="347"/>
      <c r="C3" s="347"/>
      <c r="D3" s="347"/>
      <c r="E3" s="348"/>
    </row>
    <row r="4" spans="1:14" ht="18.75" x14ac:dyDescent="0.3">
      <c r="A4" s="346" t="s">
        <v>210</v>
      </c>
      <c r="B4" s="347"/>
      <c r="C4" s="347"/>
      <c r="D4" s="347"/>
      <c r="E4" s="348"/>
    </row>
    <row r="5" spans="1:14" ht="18.75" x14ac:dyDescent="0.3">
      <c r="A5" s="346" t="s">
        <v>211</v>
      </c>
      <c r="B5" s="347"/>
      <c r="C5" s="347"/>
      <c r="D5" s="347"/>
      <c r="E5" s="348"/>
    </row>
    <row r="6" spans="1:14" ht="18.75" x14ac:dyDescent="0.3">
      <c r="A6" s="346" t="s">
        <v>212</v>
      </c>
      <c r="B6" s="347"/>
      <c r="C6" s="347"/>
      <c r="D6" s="347"/>
      <c r="E6" s="348"/>
    </row>
    <row r="7" spans="1:14" x14ac:dyDescent="0.25">
      <c r="A7" s="31" t="s">
        <v>135</v>
      </c>
      <c r="B7" s="354"/>
      <c r="C7" s="355"/>
      <c r="D7" s="32" t="s">
        <v>136</v>
      </c>
      <c r="E7" s="61"/>
    </row>
    <row r="8" spans="1:14" x14ac:dyDescent="0.25">
      <c r="A8" s="31" t="s">
        <v>0</v>
      </c>
      <c r="B8" s="37"/>
      <c r="C8" s="33" t="s">
        <v>1</v>
      </c>
      <c r="D8" s="38"/>
      <c r="E8" s="33" t="s">
        <v>2</v>
      </c>
    </row>
    <row r="9" spans="1:14" x14ac:dyDescent="0.25">
      <c r="A9" s="342" t="s">
        <v>137</v>
      </c>
      <c r="B9" s="342"/>
      <c r="C9" s="342"/>
      <c r="D9" s="342"/>
      <c r="E9" s="342"/>
    </row>
    <row r="10" spans="1:14" x14ac:dyDescent="0.25">
      <c r="A10" s="356" t="s">
        <v>138</v>
      </c>
      <c r="B10" s="356"/>
      <c r="C10" s="357"/>
      <c r="D10" s="357"/>
      <c r="E10" s="357"/>
    </row>
    <row r="11" spans="1:14" x14ac:dyDescent="0.25">
      <c r="A11" s="356" t="s">
        <v>139</v>
      </c>
      <c r="B11" s="356"/>
      <c r="C11" s="358"/>
      <c r="D11" s="359"/>
      <c r="E11" s="360"/>
      <c r="L11" s="225"/>
      <c r="M11" s="224"/>
      <c r="N11" s="226"/>
    </row>
    <row r="12" spans="1:14" x14ac:dyDescent="0.25">
      <c r="A12" s="361" t="s">
        <v>140</v>
      </c>
      <c r="B12" s="362"/>
      <c r="C12" s="363"/>
      <c r="D12" s="39">
        <v>2</v>
      </c>
      <c r="E12" s="26" t="str">
        <f>IF(D12=1,"Lucro Real",IF(D12=2,"Lucro Presumido",IF(D12=3,"SIMPLES-Anexo III",IF(D12=4,"SIMPLES-Anexo IV","RT Inválido"))))</f>
        <v>Lucro Presumido</v>
      </c>
      <c r="L12" s="225"/>
      <c r="M12" s="224"/>
      <c r="N12" s="226"/>
    </row>
    <row r="13" spans="1:14" x14ac:dyDescent="0.25">
      <c r="A13" s="342" t="s">
        <v>174</v>
      </c>
      <c r="B13" s="342"/>
      <c r="C13" s="342"/>
      <c r="D13" s="342"/>
      <c r="E13" s="342"/>
      <c r="L13" s="225"/>
      <c r="M13" s="224"/>
      <c r="N13" s="226"/>
    </row>
    <row r="14" spans="1:14" x14ac:dyDescent="0.25">
      <c r="A14" s="27" t="s">
        <v>3</v>
      </c>
      <c r="B14" s="239" t="s">
        <v>7</v>
      </c>
      <c r="C14" s="239"/>
      <c r="D14" s="239"/>
      <c r="E14" s="53"/>
      <c r="L14" s="225"/>
      <c r="M14" s="224"/>
      <c r="N14" s="226"/>
    </row>
    <row r="15" spans="1:14" x14ac:dyDescent="0.25">
      <c r="A15" s="27" t="s">
        <v>4</v>
      </c>
      <c r="B15" s="231" t="s">
        <v>8</v>
      </c>
      <c r="C15" s="232"/>
      <c r="D15" s="340" t="s">
        <v>180</v>
      </c>
      <c r="E15" s="341"/>
      <c r="L15" s="225"/>
      <c r="N15" s="226"/>
    </row>
    <row r="16" spans="1:14" x14ac:dyDescent="0.25">
      <c r="A16" s="27" t="s">
        <v>5</v>
      </c>
      <c r="B16" s="239" t="s">
        <v>9</v>
      </c>
      <c r="C16" s="239"/>
      <c r="D16" s="239"/>
      <c r="E16" s="99" t="s">
        <v>213</v>
      </c>
    </row>
    <row r="17" spans="1:10" x14ac:dyDescent="0.25">
      <c r="A17" s="27" t="s">
        <v>6</v>
      </c>
      <c r="B17" s="239" t="s">
        <v>10</v>
      </c>
      <c r="C17" s="239"/>
      <c r="D17" s="239"/>
      <c r="E17" s="54">
        <v>6</v>
      </c>
    </row>
    <row r="18" spans="1:10" x14ac:dyDescent="0.25">
      <c r="A18" s="342" t="s">
        <v>134</v>
      </c>
      <c r="B18" s="342"/>
      <c r="C18" s="342"/>
      <c r="D18" s="342"/>
      <c r="E18" s="342"/>
      <c r="I18" s="345"/>
      <c r="J18" s="345"/>
    </row>
    <row r="19" spans="1:10" x14ac:dyDescent="0.25">
      <c r="A19" s="238" t="s">
        <v>11</v>
      </c>
      <c r="B19" s="238"/>
      <c r="C19" s="69" t="s">
        <v>12</v>
      </c>
      <c r="D19" s="238" t="s">
        <v>13</v>
      </c>
      <c r="E19" s="238"/>
    </row>
    <row r="20" spans="1:10" x14ac:dyDescent="0.25">
      <c r="A20" s="238" t="s">
        <v>188</v>
      </c>
      <c r="B20" s="238"/>
      <c r="C20" s="70" t="s">
        <v>182</v>
      </c>
      <c r="D20" s="343">
        <v>2690</v>
      </c>
      <c r="E20" s="344"/>
    </row>
    <row r="21" spans="1:10" x14ac:dyDescent="0.25">
      <c r="A21" s="330" t="s">
        <v>153</v>
      </c>
      <c r="B21" s="331"/>
      <c r="C21" s="332"/>
      <c r="D21" s="333">
        <f>SUM(D20)</f>
        <v>2690</v>
      </c>
      <c r="E21" s="334"/>
    </row>
    <row r="22" spans="1:10" x14ac:dyDescent="0.25">
      <c r="A22" s="5" t="s">
        <v>25</v>
      </c>
      <c r="B22" s="335" t="s">
        <v>14</v>
      </c>
      <c r="C22" s="335"/>
      <c r="D22" s="335"/>
      <c r="E22" s="336"/>
    </row>
    <row r="23" spans="1:10" x14ac:dyDescent="0.25">
      <c r="A23" s="6"/>
      <c r="B23" s="337" t="s">
        <v>15</v>
      </c>
      <c r="C23" s="337"/>
      <c r="D23" s="337"/>
      <c r="E23" s="338"/>
    </row>
    <row r="24" spans="1:10" x14ac:dyDescent="0.25">
      <c r="A24" s="5" t="s">
        <v>26</v>
      </c>
      <c r="B24" s="335" t="s">
        <v>16</v>
      </c>
      <c r="C24" s="335"/>
      <c r="D24" s="335"/>
      <c r="E24" s="336"/>
    </row>
    <row r="25" spans="1:10" x14ac:dyDescent="0.25">
      <c r="A25" s="6"/>
      <c r="B25" s="253" t="s">
        <v>17</v>
      </c>
      <c r="C25" s="253"/>
      <c r="D25" s="253"/>
      <c r="E25" s="254"/>
    </row>
    <row r="27" spans="1:10" ht="23.25" x14ac:dyDescent="0.35">
      <c r="A27" s="339" t="s">
        <v>177</v>
      </c>
      <c r="B27" s="339"/>
      <c r="C27" s="339"/>
      <c r="D27" s="339"/>
      <c r="E27" s="339"/>
    </row>
    <row r="28" spans="1:10" x14ac:dyDescent="0.25">
      <c r="A28" s="237" t="s">
        <v>18</v>
      </c>
      <c r="B28" s="237"/>
      <c r="C28" s="237"/>
      <c r="D28" s="237"/>
      <c r="E28" s="237"/>
    </row>
    <row r="29" spans="1:10" x14ac:dyDescent="0.25">
      <c r="A29" s="240" t="s">
        <v>19</v>
      </c>
      <c r="B29" s="240"/>
      <c r="C29" s="240"/>
      <c r="D29" s="240"/>
      <c r="E29" s="240"/>
    </row>
    <row r="30" spans="1:10" x14ac:dyDescent="0.25">
      <c r="A30" s="239" t="s">
        <v>20</v>
      </c>
      <c r="B30" s="239"/>
      <c r="C30" s="239"/>
      <c r="D30" s="239"/>
      <c r="E30" s="239"/>
    </row>
    <row r="31" spans="1:10" x14ac:dyDescent="0.25">
      <c r="A31" s="27">
        <v>1</v>
      </c>
      <c r="B31" s="239" t="s">
        <v>21</v>
      </c>
      <c r="C31" s="239"/>
      <c r="D31" s="239"/>
      <c r="E31" s="94" t="s">
        <v>208</v>
      </c>
    </row>
    <row r="32" spans="1:10" x14ac:dyDescent="0.25">
      <c r="A32" s="27">
        <v>2</v>
      </c>
      <c r="B32" s="239" t="s">
        <v>22</v>
      </c>
      <c r="C32" s="239"/>
      <c r="D32" s="239"/>
      <c r="E32" s="95">
        <v>2743.54</v>
      </c>
    </row>
    <row r="33" spans="1:5" x14ac:dyDescent="0.25">
      <c r="A33" s="27">
        <v>3</v>
      </c>
      <c r="B33" s="239" t="s">
        <v>23</v>
      </c>
      <c r="C33" s="239"/>
      <c r="D33" s="239"/>
      <c r="E33" s="94" t="s">
        <v>164</v>
      </c>
    </row>
    <row r="34" spans="1:5" x14ac:dyDescent="0.25">
      <c r="A34" s="27">
        <v>4</v>
      </c>
      <c r="B34" s="239" t="s">
        <v>24</v>
      </c>
      <c r="C34" s="239"/>
      <c r="D34" s="239"/>
      <c r="E34" s="96">
        <v>46173</v>
      </c>
    </row>
    <row r="35" spans="1:5" x14ac:dyDescent="0.25">
      <c r="A35" s="34" t="s">
        <v>27</v>
      </c>
      <c r="B35" s="295" t="s">
        <v>28</v>
      </c>
      <c r="C35" s="295"/>
      <c r="D35" s="295"/>
      <c r="E35" s="296"/>
    </row>
    <row r="36" spans="1:5" x14ac:dyDescent="0.25">
      <c r="A36" s="237" t="s">
        <v>29</v>
      </c>
      <c r="B36" s="237"/>
      <c r="C36" s="237" t="s">
        <v>30</v>
      </c>
      <c r="D36" s="237"/>
      <c r="E36" s="237"/>
    </row>
    <row r="37" spans="1:5" x14ac:dyDescent="0.25">
      <c r="A37" s="28">
        <v>1</v>
      </c>
      <c r="B37" s="240" t="s">
        <v>35</v>
      </c>
      <c r="C37" s="240"/>
      <c r="D37" s="240"/>
      <c r="E37" s="28" t="s">
        <v>41</v>
      </c>
    </row>
    <row r="38" spans="1:5" x14ac:dyDescent="0.25">
      <c r="A38" s="36" t="s">
        <v>3</v>
      </c>
      <c r="B38" s="323" t="s">
        <v>36</v>
      </c>
      <c r="C38" s="323"/>
      <c r="D38" s="323"/>
      <c r="E38" s="81">
        <f>E32</f>
        <v>2743.54</v>
      </c>
    </row>
    <row r="39" spans="1:5" x14ac:dyDescent="0.25">
      <c r="A39" s="36" t="s">
        <v>4</v>
      </c>
      <c r="B39" s="323" t="s">
        <v>38</v>
      </c>
      <c r="C39" s="323"/>
      <c r="D39" s="323"/>
      <c r="E39" s="71">
        <v>0</v>
      </c>
    </row>
    <row r="40" spans="1:5" x14ac:dyDescent="0.25">
      <c r="A40" s="324" t="s">
        <v>5</v>
      </c>
      <c r="B40" s="326" t="s">
        <v>37</v>
      </c>
      <c r="C40" s="49" t="s">
        <v>147</v>
      </c>
      <c r="D40" s="75">
        <f>E38</f>
        <v>2743.54</v>
      </c>
      <c r="E40" s="328">
        <f>D40*D41</f>
        <v>0</v>
      </c>
    </row>
    <row r="41" spans="1:5" x14ac:dyDescent="0.25">
      <c r="A41" s="325"/>
      <c r="B41" s="327"/>
      <c r="C41" s="52" t="s">
        <v>148</v>
      </c>
      <c r="D41" s="41">
        <v>0</v>
      </c>
      <c r="E41" s="329"/>
    </row>
    <row r="42" spans="1:5" x14ac:dyDescent="0.25">
      <c r="A42" s="240" t="s">
        <v>40</v>
      </c>
      <c r="B42" s="240"/>
      <c r="C42" s="240"/>
      <c r="D42" s="240"/>
      <c r="E42" s="3">
        <f>SUM(E38:E41)</f>
        <v>2743.54</v>
      </c>
    </row>
    <row r="43" spans="1:5" x14ac:dyDescent="0.25">
      <c r="A43" s="237" t="s">
        <v>42</v>
      </c>
      <c r="B43" s="237"/>
      <c r="C43" s="237" t="s">
        <v>43</v>
      </c>
      <c r="D43" s="237"/>
      <c r="E43" s="237"/>
    </row>
    <row r="44" spans="1:5" x14ac:dyDescent="0.25">
      <c r="A44" s="28">
        <v>2</v>
      </c>
      <c r="B44" s="240" t="s">
        <v>44</v>
      </c>
      <c r="C44" s="240"/>
      <c r="D44" s="240"/>
      <c r="E44" s="28"/>
    </row>
    <row r="45" spans="1:5" x14ac:dyDescent="0.25">
      <c r="A45" s="243" t="s">
        <v>3</v>
      </c>
      <c r="B45" s="307" t="s">
        <v>45</v>
      </c>
      <c r="C45" s="7" t="s">
        <v>131</v>
      </c>
      <c r="D45" s="62">
        <f>E38</f>
        <v>2743.54</v>
      </c>
      <c r="E45" s="310">
        <f>IF(D46&gt;0,(D46*D47-(D45*6%)),0)</f>
        <v>0</v>
      </c>
    </row>
    <row r="46" spans="1:5" x14ac:dyDescent="0.25">
      <c r="A46" s="306"/>
      <c r="B46" s="308"/>
      <c r="C46" s="7" t="s">
        <v>132</v>
      </c>
      <c r="D46" s="73">
        <v>0</v>
      </c>
      <c r="E46" s="310"/>
    </row>
    <row r="47" spans="1:5" x14ac:dyDescent="0.25">
      <c r="A47" s="244"/>
      <c r="B47" s="309"/>
      <c r="C47" s="7" t="s">
        <v>130</v>
      </c>
      <c r="D47" s="74">
        <v>0</v>
      </c>
      <c r="E47" s="310"/>
    </row>
    <row r="48" spans="1:5" x14ac:dyDescent="0.25">
      <c r="A48" s="243" t="s">
        <v>4</v>
      </c>
      <c r="B48" s="311" t="s">
        <v>190</v>
      </c>
      <c r="C48" s="7" t="s">
        <v>149</v>
      </c>
      <c r="D48" s="66">
        <v>27.68</v>
      </c>
      <c r="E48" s="314">
        <f>ROUND((D48*D49)-((D48*D49)*D50),1)</f>
        <v>442.9</v>
      </c>
    </row>
    <row r="49" spans="1:5" x14ac:dyDescent="0.25">
      <c r="A49" s="306"/>
      <c r="B49" s="312"/>
      <c r="C49" s="7" t="s">
        <v>150</v>
      </c>
      <c r="D49" s="55">
        <v>20</v>
      </c>
      <c r="E49" s="315"/>
    </row>
    <row r="50" spans="1:5" x14ac:dyDescent="0.25">
      <c r="A50" s="244"/>
      <c r="B50" s="313"/>
      <c r="C50" s="68" t="s">
        <v>133</v>
      </c>
      <c r="D50" s="42">
        <v>0.2</v>
      </c>
      <c r="E50" s="316"/>
    </row>
    <row r="51" spans="1:5" x14ac:dyDescent="0.25">
      <c r="A51" s="211" t="s">
        <v>189</v>
      </c>
      <c r="B51" s="216" t="s">
        <v>192</v>
      </c>
      <c r="C51" s="210" t="s">
        <v>191</v>
      </c>
      <c r="D51" s="217">
        <v>230.51</v>
      </c>
      <c r="E51" s="314">
        <f>D51-(D51*D52)</f>
        <v>184.40799999999999</v>
      </c>
    </row>
    <row r="52" spans="1:5" x14ac:dyDescent="0.25">
      <c r="A52" s="211"/>
      <c r="B52" s="214"/>
      <c r="C52" s="210" t="s">
        <v>133</v>
      </c>
      <c r="D52" s="42">
        <v>0.2</v>
      </c>
      <c r="E52" s="316"/>
    </row>
    <row r="53" spans="1:5" x14ac:dyDescent="0.25">
      <c r="A53" s="27" t="s">
        <v>6</v>
      </c>
      <c r="B53" s="321" t="s">
        <v>205</v>
      </c>
      <c r="C53" s="322"/>
      <c r="D53" s="223">
        <v>220</v>
      </c>
      <c r="E53" s="97">
        <f>D53/12</f>
        <v>18.333333333333332</v>
      </c>
    </row>
    <row r="54" spans="1:5" x14ac:dyDescent="0.25">
      <c r="A54" s="27" t="s">
        <v>31</v>
      </c>
      <c r="B54" s="320" t="s">
        <v>206</v>
      </c>
      <c r="C54" s="320"/>
      <c r="D54" s="222">
        <v>210</v>
      </c>
      <c r="E54" s="97">
        <f>D54/12</f>
        <v>17.5</v>
      </c>
    </row>
    <row r="55" spans="1:5" x14ac:dyDescent="0.25">
      <c r="A55" s="297" t="s">
        <v>32</v>
      </c>
      <c r="B55" s="317" t="s">
        <v>39</v>
      </c>
      <c r="C55" s="320"/>
      <c r="D55" s="320"/>
      <c r="E55" s="43"/>
    </row>
    <row r="56" spans="1:5" x14ac:dyDescent="0.25">
      <c r="A56" s="297"/>
      <c r="B56" s="318"/>
      <c r="C56" s="320"/>
      <c r="D56" s="320"/>
      <c r="E56" s="43"/>
    </row>
    <row r="57" spans="1:5" x14ac:dyDescent="0.25">
      <c r="A57" s="297"/>
      <c r="B57" s="319"/>
      <c r="C57" s="320"/>
      <c r="D57" s="320"/>
      <c r="E57" s="43"/>
    </row>
    <row r="58" spans="1:5" x14ac:dyDescent="0.25">
      <c r="A58" s="240" t="s">
        <v>48</v>
      </c>
      <c r="B58" s="240"/>
      <c r="C58" s="240"/>
      <c r="D58" s="240"/>
      <c r="E58" s="3">
        <f>E45+E48+E51+E53+E54+E55</f>
        <v>663.14133333333336</v>
      </c>
    </row>
    <row r="59" spans="1:5" x14ac:dyDescent="0.25">
      <c r="A59" s="8" t="s">
        <v>27</v>
      </c>
      <c r="B59" s="298" t="s">
        <v>49</v>
      </c>
      <c r="C59" s="298"/>
      <c r="D59" s="298"/>
      <c r="E59" s="299"/>
    </row>
    <row r="60" spans="1:5" x14ac:dyDescent="0.25">
      <c r="A60" s="6"/>
      <c r="B60" s="253" t="s">
        <v>50</v>
      </c>
      <c r="C60" s="253"/>
      <c r="D60" s="253"/>
      <c r="E60" s="254"/>
    </row>
    <row r="62" spans="1:5" x14ac:dyDescent="0.25">
      <c r="A62" s="237" t="s">
        <v>51</v>
      </c>
      <c r="B62" s="237"/>
      <c r="C62" s="237" t="s">
        <v>185</v>
      </c>
      <c r="D62" s="237"/>
      <c r="E62" s="237"/>
    </row>
    <row r="63" spans="1:5" x14ac:dyDescent="0.25">
      <c r="A63" s="28">
        <v>3</v>
      </c>
      <c r="B63" s="240" t="s">
        <v>53</v>
      </c>
      <c r="C63" s="240"/>
      <c r="D63" s="240"/>
      <c r="E63" s="28" t="s">
        <v>41</v>
      </c>
    </row>
    <row r="64" spans="1:5" x14ac:dyDescent="0.25">
      <c r="A64" s="243" t="s">
        <v>3</v>
      </c>
      <c r="B64" s="300" t="s">
        <v>165</v>
      </c>
      <c r="C64" s="84" t="s">
        <v>167</v>
      </c>
      <c r="D64" s="84" t="s">
        <v>166</v>
      </c>
      <c r="E64" s="302">
        <f>(D20/C65)*D65</f>
        <v>7682.6399999999994</v>
      </c>
    </row>
    <row r="65" spans="1:6" x14ac:dyDescent="0.25">
      <c r="A65" s="244"/>
      <c r="B65" s="301"/>
      <c r="C65" s="100">
        <v>2.5</v>
      </c>
      <c r="D65" s="101">
        <v>7.14</v>
      </c>
      <c r="E65" s="303"/>
      <c r="F65" s="89"/>
    </row>
    <row r="66" spans="1:6" x14ac:dyDescent="0.25">
      <c r="A66" s="212" t="s">
        <v>4</v>
      </c>
      <c r="B66" s="213" t="s">
        <v>194</v>
      </c>
      <c r="C66" s="85" t="s">
        <v>169</v>
      </c>
      <c r="D66" s="102">
        <v>2700</v>
      </c>
      <c r="E66" s="82">
        <f>D66/12</f>
        <v>225</v>
      </c>
      <c r="F66" s="89"/>
    </row>
    <row r="67" spans="1:6" x14ac:dyDescent="0.25">
      <c r="A67" s="15" t="s">
        <v>5</v>
      </c>
      <c r="B67" s="80" t="s">
        <v>193</v>
      </c>
      <c r="C67" s="85" t="s">
        <v>169</v>
      </c>
      <c r="D67" s="102">
        <v>4500</v>
      </c>
      <c r="E67" s="82">
        <f>D67/12</f>
        <v>375</v>
      </c>
    </row>
    <row r="68" spans="1:6" x14ac:dyDescent="0.25">
      <c r="A68" s="212" t="s">
        <v>6</v>
      </c>
      <c r="B68" s="213" t="s">
        <v>195</v>
      </c>
      <c r="C68" s="85" t="s">
        <v>169</v>
      </c>
      <c r="D68" s="102">
        <v>0</v>
      </c>
      <c r="E68" s="218">
        <v>0</v>
      </c>
    </row>
    <row r="69" spans="1:6" x14ac:dyDescent="0.25">
      <c r="A69" s="212" t="s">
        <v>31</v>
      </c>
      <c r="B69" s="213" t="s">
        <v>196</v>
      </c>
      <c r="C69" s="85" t="s">
        <v>169</v>
      </c>
      <c r="D69" s="102">
        <v>350</v>
      </c>
      <c r="E69" s="218">
        <f>D69/12</f>
        <v>29.166666666666668</v>
      </c>
    </row>
    <row r="70" spans="1:6" x14ac:dyDescent="0.25">
      <c r="A70" s="212" t="s">
        <v>32</v>
      </c>
      <c r="B70" s="213" t="s">
        <v>197</v>
      </c>
      <c r="C70" s="85" t="s">
        <v>169</v>
      </c>
      <c r="D70" s="102">
        <v>180</v>
      </c>
      <c r="E70" s="218">
        <f>D70/12</f>
        <v>15</v>
      </c>
    </row>
    <row r="71" spans="1:6" x14ac:dyDescent="0.25">
      <c r="A71" s="212" t="s">
        <v>33</v>
      </c>
      <c r="B71" s="213" t="s">
        <v>198</v>
      </c>
      <c r="C71" s="85" t="s">
        <v>169</v>
      </c>
      <c r="D71" s="102">
        <v>450</v>
      </c>
      <c r="E71" s="218">
        <f>D71/12</f>
        <v>37.5</v>
      </c>
    </row>
    <row r="72" spans="1:6" x14ac:dyDescent="0.25">
      <c r="A72" s="306" t="s">
        <v>34</v>
      </c>
      <c r="B72" s="213" t="s">
        <v>202</v>
      </c>
      <c r="C72" s="219">
        <v>12654</v>
      </c>
      <c r="D72" s="102"/>
      <c r="E72" s="302">
        <f>C75</f>
        <v>680.78520000000003</v>
      </c>
    </row>
    <row r="73" spans="1:6" x14ac:dyDescent="0.25">
      <c r="A73" s="306"/>
      <c r="B73" s="213" t="s">
        <v>200</v>
      </c>
      <c r="C73" s="221">
        <v>50000</v>
      </c>
      <c r="D73" s="102"/>
      <c r="E73" s="305"/>
    </row>
    <row r="74" spans="1:6" x14ac:dyDescent="0.25">
      <c r="A74" s="306"/>
      <c r="B74" s="213" t="s">
        <v>201</v>
      </c>
      <c r="C74" s="220">
        <f>C72/C73</f>
        <v>0.25308000000000003</v>
      </c>
      <c r="D74" s="102"/>
      <c r="E74" s="305"/>
    </row>
    <row r="75" spans="1:6" x14ac:dyDescent="0.25">
      <c r="A75" s="244"/>
      <c r="B75" s="213" t="s">
        <v>199</v>
      </c>
      <c r="C75" s="220">
        <f>C74*D20</f>
        <v>680.78520000000003</v>
      </c>
      <c r="D75" s="102"/>
      <c r="E75" s="303"/>
    </row>
    <row r="76" spans="1:6" x14ac:dyDescent="0.25">
      <c r="A76" s="297" t="s">
        <v>203</v>
      </c>
      <c r="B76" s="304" t="s">
        <v>170</v>
      </c>
      <c r="C76" s="85" t="s">
        <v>171</v>
      </c>
      <c r="D76" s="84" t="s">
        <v>207</v>
      </c>
      <c r="E76" s="245">
        <f>D77/12</f>
        <v>1416.6666666666667</v>
      </c>
    </row>
    <row r="77" spans="1:6" ht="15" customHeight="1" x14ac:dyDescent="0.25">
      <c r="A77" s="297"/>
      <c r="B77" s="304"/>
      <c r="C77" s="103">
        <v>170000</v>
      </c>
      <c r="D77" s="83">
        <f>C77*10%</f>
        <v>17000</v>
      </c>
      <c r="E77" s="246"/>
    </row>
    <row r="78" spans="1:6" ht="15" customHeight="1" x14ac:dyDescent="0.25">
      <c r="A78" s="243" t="s">
        <v>204</v>
      </c>
      <c r="B78" s="241" t="s">
        <v>172</v>
      </c>
      <c r="C78" s="86" t="s">
        <v>147</v>
      </c>
      <c r="D78" s="88" t="s">
        <v>68</v>
      </c>
      <c r="E78" s="245">
        <f>C79*D79</f>
        <v>3841.3199999999997</v>
      </c>
    </row>
    <row r="79" spans="1:6" ht="15" customHeight="1" x14ac:dyDescent="0.25">
      <c r="A79" s="244"/>
      <c r="B79" s="242"/>
      <c r="C79" s="87">
        <f>E64</f>
        <v>7682.6399999999994</v>
      </c>
      <c r="D79" s="98">
        <v>0.5</v>
      </c>
      <c r="E79" s="246"/>
      <c r="F79" s="89"/>
    </row>
    <row r="80" spans="1:6" x14ac:dyDescent="0.25">
      <c r="A80" s="240" t="s">
        <v>55</v>
      </c>
      <c r="B80" s="240"/>
      <c r="C80" s="240"/>
      <c r="D80" s="240"/>
      <c r="E80" s="3">
        <f>SUM(E64:E79)</f>
        <v>14303.078533333332</v>
      </c>
    </row>
    <row r="81" spans="1:5" x14ac:dyDescent="0.25">
      <c r="A81" s="29" t="s">
        <v>27</v>
      </c>
      <c r="B81" s="295" t="s">
        <v>186</v>
      </c>
      <c r="C81" s="295"/>
      <c r="D81" s="295"/>
      <c r="E81" s="296"/>
    </row>
    <row r="83" spans="1:5" x14ac:dyDescent="0.25">
      <c r="A83" s="237" t="s">
        <v>56</v>
      </c>
      <c r="B83" s="237"/>
      <c r="C83" s="237" t="s">
        <v>57</v>
      </c>
      <c r="D83" s="237"/>
      <c r="E83" s="237"/>
    </row>
    <row r="84" spans="1:5" x14ac:dyDescent="0.25">
      <c r="A84" s="270" t="s">
        <v>58</v>
      </c>
      <c r="B84" s="271"/>
      <c r="C84" s="270" t="s">
        <v>59</v>
      </c>
      <c r="D84" s="272"/>
      <c r="E84" s="271"/>
    </row>
    <row r="85" spans="1:5" x14ac:dyDescent="0.25">
      <c r="A85" s="28" t="s">
        <v>60</v>
      </c>
      <c r="B85" s="240" t="s">
        <v>59</v>
      </c>
      <c r="C85" s="240"/>
      <c r="D85" s="28" t="s">
        <v>68</v>
      </c>
      <c r="E85" s="28" t="s">
        <v>41</v>
      </c>
    </row>
    <row r="86" spans="1:5" x14ac:dyDescent="0.25">
      <c r="A86" s="27" t="s">
        <v>3</v>
      </c>
      <c r="B86" s="239" t="s">
        <v>61</v>
      </c>
      <c r="C86" s="239"/>
      <c r="D86" s="9">
        <f>IF(D12=1,20%,IF(D12=2,20%,IF(D12=3,0%,IF(D12=4,20%,"RT Indefinido"))))</f>
        <v>0.2</v>
      </c>
      <c r="E86" s="22">
        <f>ROUND(E42*D86,2)</f>
        <v>548.71</v>
      </c>
    </row>
    <row r="87" spans="1:5" x14ac:dyDescent="0.25">
      <c r="A87" s="27" t="s">
        <v>4</v>
      </c>
      <c r="B87" s="239" t="s">
        <v>62</v>
      </c>
      <c r="C87" s="239"/>
      <c r="D87" s="9">
        <f>IF(D12=1,1.5%,IF(D12=2,1.5%,IF(D12=3,0%,IF(D12=4,0%,"RT Indefinido"))))</f>
        <v>1.4999999999999999E-2</v>
      </c>
      <c r="E87" s="22">
        <f>ROUND(E42*D87,2)</f>
        <v>41.15</v>
      </c>
    </row>
    <row r="88" spans="1:5" x14ac:dyDescent="0.25">
      <c r="A88" s="27" t="s">
        <v>5</v>
      </c>
      <c r="B88" s="239" t="s">
        <v>63</v>
      </c>
      <c r="C88" s="239"/>
      <c r="D88" s="9">
        <f>IF(D12=1,1%,IF(D12=2,1%,IF(D12=3,0%,IF(D12=4,0%,"RT Indefinido"))))</f>
        <v>0.01</v>
      </c>
      <c r="E88" s="22">
        <f>ROUND(E42*D88,2)</f>
        <v>27.44</v>
      </c>
    </row>
    <row r="89" spans="1:5" x14ac:dyDescent="0.25">
      <c r="A89" s="27" t="s">
        <v>6</v>
      </c>
      <c r="B89" s="293" t="s">
        <v>64</v>
      </c>
      <c r="C89" s="293"/>
      <c r="D89" s="91">
        <f>IF(D12=1,0.2%,IF(D12=2,0.2%,IF(D12=3,0%,IF(D12=4,0%,"RT Indefinido"))))</f>
        <v>2E-3</v>
      </c>
      <c r="E89" s="92">
        <f>ROUND(E42*D89,2)</f>
        <v>5.49</v>
      </c>
    </row>
    <row r="90" spans="1:5" x14ac:dyDescent="0.25">
      <c r="A90" s="27" t="s">
        <v>31</v>
      </c>
      <c r="B90" s="239" t="s">
        <v>65</v>
      </c>
      <c r="C90" s="239"/>
      <c r="D90" s="9">
        <f>IF(D12=1,2.5%,IF(D12=2,2.5%,IF(D12=3,0%,IF(D12=4,0%,"RT Indefinido"))))</f>
        <v>2.5000000000000001E-2</v>
      </c>
      <c r="E90" s="22">
        <f>ROUND(E42*D90,2)</f>
        <v>68.59</v>
      </c>
    </row>
    <row r="91" spans="1:5" x14ac:dyDescent="0.25">
      <c r="A91" s="27" t="s">
        <v>32</v>
      </c>
      <c r="B91" s="250" t="s">
        <v>66</v>
      </c>
      <c r="C91" s="250"/>
      <c r="D91" s="9">
        <f>IF(D12=1,8%,IF(D12=2,8%,IF(D12=3,8%,IF(D12=4,8%,"RT Indefinido"))))</f>
        <v>0.08</v>
      </c>
      <c r="E91" s="22">
        <f>ROUND(E42*D91,2)</f>
        <v>219.48</v>
      </c>
    </row>
    <row r="92" spans="1:5" x14ac:dyDescent="0.25">
      <c r="A92" s="27" t="s">
        <v>33</v>
      </c>
      <c r="B92" s="294" t="s">
        <v>143</v>
      </c>
      <c r="C92" s="294"/>
      <c r="D92" s="93">
        <v>0.03</v>
      </c>
      <c r="E92" s="63">
        <f>ROUND(E42*D92,2)</f>
        <v>82.31</v>
      </c>
    </row>
    <row r="93" spans="1:5" x14ac:dyDescent="0.25">
      <c r="A93" s="27" t="s">
        <v>34</v>
      </c>
      <c r="B93" s="250" t="s">
        <v>67</v>
      </c>
      <c r="C93" s="250"/>
      <c r="D93" s="9">
        <f>IF(D12=1,0.6%,IF(D12=2,0.6%,IF(D12=3,0%,IF(D12=4,0%,"RT Indefinido"))))</f>
        <v>6.0000000000000001E-3</v>
      </c>
      <c r="E93" s="22">
        <f>ROUND(E42*D93,2)</f>
        <v>16.46</v>
      </c>
    </row>
    <row r="94" spans="1:5" x14ac:dyDescent="0.25">
      <c r="A94" s="240" t="s">
        <v>77</v>
      </c>
      <c r="B94" s="240"/>
      <c r="C94" s="240"/>
      <c r="D94" s="11">
        <f>SUM(D86:D93)</f>
        <v>0.3680000000000001</v>
      </c>
      <c r="E94" s="3">
        <f>SUM(E86:E93)</f>
        <v>1009.6300000000001</v>
      </c>
    </row>
    <row r="95" spans="1:5" x14ac:dyDescent="0.25">
      <c r="A95" s="8" t="s">
        <v>25</v>
      </c>
      <c r="B95" s="251" t="s">
        <v>69</v>
      </c>
      <c r="C95" s="251"/>
      <c r="D95" s="251"/>
      <c r="E95" s="252"/>
    </row>
    <row r="96" spans="1:5" x14ac:dyDescent="0.25">
      <c r="A96" s="12" t="s">
        <v>26</v>
      </c>
      <c r="B96" s="253" t="s">
        <v>70</v>
      </c>
      <c r="C96" s="253"/>
      <c r="D96" s="253"/>
      <c r="E96" s="254"/>
    </row>
    <row r="98" spans="1:6" x14ac:dyDescent="0.25">
      <c r="A98" s="270" t="s">
        <v>71</v>
      </c>
      <c r="B98" s="271"/>
      <c r="C98" s="270" t="s">
        <v>72</v>
      </c>
      <c r="D98" s="272"/>
      <c r="E98" s="271"/>
    </row>
    <row r="99" spans="1:6" x14ac:dyDescent="0.25">
      <c r="A99" s="28" t="s">
        <v>78</v>
      </c>
      <c r="B99" s="240" t="s">
        <v>72</v>
      </c>
      <c r="C99" s="240"/>
      <c r="D99" s="28" t="s">
        <v>68</v>
      </c>
      <c r="E99" s="28" t="s">
        <v>41</v>
      </c>
    </row>
    <row r="100" spans="1:6" x14ac:dyDescent="0.25">
      <c r="A100" s="27" t="s">
        <v>3</v>
      </c>
      <c r="B100" s="239" t="s">
        <v>73</v>
      </c>
      <c r="C100" s="239"/>
      <c r="D100" s="9">
        <f>100/12/100</f>
        <v>8.3333333333333343E-2</v>
      </c>
      <c r="E100" s="22">
        <f>ROUND(E42*D100,2)</f>
        <v>228.63</v>
      </c>
    </row>
    <row r="101" spans="1:6" x14ac:dyDescent="0.25">
      <c r="A101" s="27" t="s">
        <v>4</v>
      </c>
      <c r="B101" s="239" t="s">
        <v>74</v>
      </c>
      <c r="C101" s="239"/>
      <c r="D101" s="9">
        <f>100/12/100/3</f>
        <v>2.777777777777778E-2</v>
      </c>
      <c r="E101" s="22">
        <f>ROUND(E42*D101,2)</f>
        <v>76.209999999999994</v>
      </c>
    </row>
    <row r="102" spans="1:6" x14ac:dyDescent="0.25">
      <c r="A102" s="234" t="s">
        <v>75</v>
      </c>
      <c r="B102" s="235"/>
      <c r="C102" s="292"/>
      <c r="D102" s="13">
        <f>SUM(D100+D101)</f>
        <v>0.11111111111111112</v>
      </c>
      <c r="E102" s="14">
        <f>ROUND(SUM(E100+E101),2)</f>
        <v>304.83999999999997</v>
      </c>
    </row>
    <row r="103" spans="1:6" x14ac:dyDescent="0.25">
      <c r="A103" s="243" t="s">
        <v>5</v>
      </c>
      <c r="B103" s="284" t="s">
        <v>76</v>
      </c>
      <c r="C103" s="285"/>
      <c r="D103" s="288">
        <f>ROUND((E103*D102)/E102,4)</f>
        <v>4.0899999999999999E-2</v>
      </c>
      <c r="E103" s="290">
        <f>ROUND(E102*D94,2)</f>
        <v>112.18</v>
      </c>
    </row>
    <row r="104" spans="1:6" x14ac:dyDescent="0.25">
      <c r="A104" s="244"/>
      <c r="B104" s="286"/>
      <c r="C104" s="287"/>
      <c r="D104" s="289"/>
      <c r="E104" s="291"/>
    </row>
    <row r="105" spans="1:6" x14ac:dyDescent="0.25">
      <c r="A105" s="240" t="s">
        <v>77</v>
      </c>
      <c r="B105" s="240"/>
      <c r="C105" s="240"/>
      <c r="D105" s="11">
        <f>SUM(D102:D104)</f>
        <v>0.15201111111111112</v>
      </c>
      <c r="E105" s="3">
        <f>ROUND(SUM(E102:E104),2)</f>
        <v>417.02</v>
      </c>
    </row>
    <row r="107" spans="1:6" x14ac:dyDescent="0.25">
      <c r="A107" s="270" t="s">
        <v>79</v>
      </c>
      <c r="B107" s="271"/>
      <c r="C107" s="270" t="s">
        <v>81</v>
      </c>
      <c r="D107" s="272"/>
      <c r="E107" s="271"/>
      <c r="F107" s="215" t="s">
        <v>81</v>
      </c>
    </row>
    <row r="108" spans="1:6" x14ac:dyDescent="0.25">
      <c r="A108" s="28" t="s">
        <v>80</v>
      </c>
      <c r="B108" s="240" t="s">
        <v>81</v>
      </c>
      <c r="C108" s="240"/>
      <c r="D108" s="28" t="s">
        <v>68</v>
      </c>
      <c r="E108" s="28" t="s">
        <v>41</v>
      </c>
      <c r="F108" s="77" t="s">
        <v>161</v>
      </c>
    </row>
    <row r="109" spans="1:6" x14ac:dyDescent="0.25">
      <c r="A109" s="27" t="s">
        <v>3</v>
      </c>
      <c r="B109" s="239" t="s">
        <v>81</v>
      </c>
      <c r="C109" s="239"/>
      <c r="D109" s="16">
        <v>0</v>
      </c>
      <c r="E109" s="78">
        <v>0</v>
      </c>
    </row>
    <row r="110" spans="1:6" x14ac:dyDescent="0.25">
      <c r="A110" s="243" t="s">
        <v>4</v>
      </c>
      <c r="B110" s="284" t="s">
        <v>82</v>
      </c>
      <c r="C110" s="285"/>
      <c r="D110" s="288">
        <v>0</v>
      </c>
      <c r="E110" s="290">
        <f>ROUND(D94*E109,2)</f>
        <v>0</v>
      </c>
    </row>
    <row r="111" spans="1:6" x14ac:dyDescent="0.25">
      <c r="A111" s="244"/>
      <c r="B111" s="286"/>
      <c r="C111" s="287"/>
      <c r="D111" s="289"/>
      <c r="E111" s="291"/>
    </row>
    <row r="112" spans="1:6" x14ac:dyDescent="0.25">
      <c r="A112" s="240" t="s">
        <v>77</v>
      </c>
      <c r="B112" s="240"/>
      <c r="C112" s="240"/>
      <c r="D112" s="11">
        <f>SUM(D109:D111)</f>
        <v>0</v>
      </c>
      <c r="E112" s="3">
        <f>ROUND(SUM(E109:E111),2)</f>
        <v>0</v>
      </c>
    </row>
    <row r="114" spans="1:6" x14ac:dyDescent="0.25">
      <c r="A114" s="270" t="s">
        <v>83</v>
      </c>
      <c r="B114" s="271"/>
      <c r="C114" s="270" t="s">
        <v>85</v>
      </c>
      <c r="D114" s="272"/>
      <c r="E114" s="271"/>
    </row>
    <row r="115" spans="1:6" x14ac:dyDescent="0.25">
      <c r="A115" s="28" t="s">
        <v>84</v>
      </c>
      <c r="B115" s="240" t="s">
        <v>85</v>
      </c>
      <c r="C115" s="240"/>
      <c r="D115" s="28" t="s">
        <v>68</v>
      </c>
      <c r="E115" s="28" t="s">
        <v>41</v>
      </c>
    </row>
    <row r="116" spans="1:6" x14ac:dyDescent="0.25">
      <c r="A116" s="27" t="s">
        <v>3</v>
      </c>
      <c r="B116" s="239" t="s">
        <v>91</v>
      </c>
      <c r="C116" s="239"/>
      <c r="D116" s="16">
        <f>ROUND(E116/E42,4)</f>
        <v>4.1999999999999997E-3</v>
      </c>
      <c r="E116" s="22">
        <f>ROUND((E42/12)*5/100,2)</f>
        <v>11.43</v>
      </c>
    </row>
    <row r="117" spans="1:6" x14ac:dyDescent="0.25">
      <c r="A117" s="15" t="s">
        <v>4</v>
      </c>
      <c r="B117" s="280" t="s">
        <v>144</v>
      </c>
      <c r="C117" s="281"/>
      <c r="D117" s="23">
        <f>ROUND(E117/E42,4)</f>
        <v>2.9999999999999997E-4</v>
      </c>
      <c r="E117" s="59">
        <f>ROUND(E116*0.08,2)</f>
        <v>0.91</v>
      </c>
    </row>
    <row r="118" spans="1:6" x14ac:dyDescent="0.25">
      <c r="A118" s="27" t="s">
        <v>5</v>
      </c>
      <c r="B118" s="239" t="s">
        <v>92</v>
      </c>
      <c r="C118" s="239"/>
      <c r="D118" s="16">
        <f>ROUND(E118/E42,4)</f>
        <v>2.3999999999999998E-3</v>
      </c>
      <c r="E118" s="22">
        <f>ROUND((((E42*0.08)*0.5)*0.06),2)</f>
        <v>6.58</v>
      </c>
    </row>
    <row r="119" spans="1:6" x14ac:dyDescent="0.25">
      <c r="A119" s="27" t="s">
        <v>6</v>
      </c>
      <c r="B119" s="239" t="s">
        <v>93</v>
      </c>
      <c r="C119" s="239"/>
      <c r="D119" s="16">
        <f>ROUND(E119/E42,4)</f>
        <v>3.8899999999999997E-2</v>
      </c>
      <c r="E119" s="58">
        <f>ROUND(((E42/30)*7)/E17,2)</f>
        <v>106.69</v>
      </c>
    </row>
    <row r="120" spans="1:6" x14ac:dyDescent="0.25">
      <c r="A120" s="15" t="s">
        <v>31</v>
      </c>
      <c r="B120" s="280" t="s">
        <v>94</v>
      </c>
      <c r="C120" s="281"/>
      <c r="D120" s="23">
        <f>ROUND(E120/E42,4)</f>
        <v>1.43E-2</v>
      </c>
      <c r="E120" s="57">
        <f>ROUND(E119*D94,2)</f>
        <v>39.26</v>
      </c>
    </row>
    <row r="121" spans="1:6" x14ac:dyDescent="0.25">
      <c r="A121" s="35" t="s">
        <v>6</v>
      </c>
      <c r="B121" s="282" t="s">
        <v>146</v>
      </c>
      <c r="C121" s="283"/>
      <c r="D121" s="16">
        <f>ROUND(E121/E42,4)</f>
        <v>4.7600000000000003E-2</v>
      </c>
      <c r="E121" s="22">
        <f>ROUND((E42*0.08)*0.595,2)</f>
        <v>130.59</v>
      </c>
    </row>
    <row r="122" spans="1:6" x14ac:dyDescent="0.25">
      <c r="A122" s="240" t="s">
        <v>77</v>
      </c>
      <c r="B122" s="240"/>
      <c r="C122" s="240"/>
      <c r="D122" s="17">
        <f>ROUND(SUM(D116:D121),4)</f>
        <v>0.1077</v>
      </c>
      <c r="E122" s="3">
        <f>ROUND(SUM(E116:E121),2)</f>
        <v>295.45999999999998</v>
      </c>
    </row>
    <row r="124" spans="1:6" x14ac:dyDescent="0.25">
      <c r="A124" s="270" t="s">
        <v>95</v>
      </c>
      <c r="B124" s="271"/>
      <c r="C124" s="270" t="s">
        <v>97</v>
      </c>
      <c r="D124" s="272"/>
      <c r="E124" s="271"/>
      <c r="F124" s="215" t="s">
        <v>88</v>
      </c>
    </row>
    <row r="125" spans="1:6" x14ac:dyDescent="0.25">
      <c r="A125" s="30" t="s">
        <v>96</v>
      </c>
      <c r="B125" s="273" t="s">
        <v>98</v>
      </c>
      <c r="C125" s="274"/>
      <c r="D125" s="30" t="s">
        <v>68</v>
      </c>
      <c r="E125" s="30" t="s">
        <v>41</v>
      </c>
      <c r="F125" s="79" t="s">
        <v>161</v>
      </c>
    </row>
    <row r="126" spans="1:6" x14ac:dyDescent="0.25">
      <c r="A126" s="27" t="s">
        <v>3</v>
      </c>
      <c r="B126" s="239" t="s">
        <v>86</v>
      </c>
      <c r="C126" s="239"/>
      <c r="D126" s="9">
        <f>(100/12/100)</f>
        <v>8.3333333333333343E-2</v>
      </c>
      <c r="E126" s="22">
        <f>ROUND(E42*D126,2)</f>
        <v>228.63</v>
      </c>
    </row>
    <row r="127" spans="1:6" x14ac:dyDescent="0.25">
      <c r="A127" s="15" t="s">
        <v>4</v>
      </c>
      <c r="B127" s="275" t="s">
        <v>87</v>
      </c>
      <c r="C127" s="276"/>
      <c r="D127" s="10">
        <f>E127/E42</f>
        <v>1.3887167673881191E-2</v>
      </c>
      <c r="E127" s="22">
        <f>ROUND(5/30*E42/12,2)</f>
        <v>38.1</v>
      </c>
    </row>
    <row r="128" spans="1:6" x14ac:dyDescent="0.25">
      <c r="A128" s="27" t="s">
        <v>5</v>
      </c>
      <c r="B128" s="239" t="s">
        <v>88</v>
      </c>
      <c r="C128" s="239"/>
      <c r="D128" s="9">
        <v>2.0000000000000001E-4</v>
      </c>
      <c r="E128" s="22">
        <f>D128*E42</f>
        <v>0.54870799999999997</v>
      </c>
    </row>
    <row r="129" spans="1:5" x14ac:dyDescent="0.25">
      <c r="A129" s="27" t="s">
        <v>6</v>
      </c>
      <c r="B129" s="239" t="s">
        <v>89</v>
      </c>
      <c r="C129" s="239"/>
      <c r="D129" s="9">
        <f>E129/E42</f>
        <v>2.7774335347762382E-3</v>
      </c>
      <c r="E129" s="22">
        <f>ROUND((1/30*E42)/12,2)</f>
        <v>7.62</v>
      </c>
    </row>
    <row r="130" spans="1:5" x14ac:dyDescent="0.25">
      <c r="A130" s="27" t="s">
        <v>31</v>
      </c>
      <c r="B130" s="231" t="s">
        <v>90</v>
      </c>
      <c r="C130" s="233"/>
      <c r="D130" s="9">
        <f>E130/E42</f>
        <v>3.2439840498042674E-4</v>
      </c>
      <c r="E130" s="22">
        <f>ROUND((((15/30)*E42)/12)*0.78%,2)</f>
        <v>0.89</v>
      </c>
    </row>
    <row r="131" spans="1:5" x14ac:dyDescent="0.25">
      <c r="A131" s="243" t="s">
        <v>32</v>
      </c>
      <c r="B131" s="264" t="s">
        <v>39</v>
      </c>
      <c r="C131" s="40"/>
      <c r="D131" s="48">
        <f>E131/E42</f>
        <v>0</v>
      </c>
      <c r="E131" s="76">
        <v>0</v>
      </c>
    </row>
    <row r="132" spans="1:5" x14ac:dyDescent="0.25">
      <c r="A132" s="244"/>
      <c r="B132" s="264"/>
      <c r="C132" s="2"/>
      <c r="D132" s="1">
        <v>0</v>
      </c>
      <c r="E132" s="65">
        <f>ROUND(E42*D132,2)</f>
        <v>0</v>
      </c>
    </row>
    <row r="133" spans="1:5" x14ac:dyDescent="0.25">
      <c r="A133" s="277" t="s">
        <v>75</v>
      </c>
      <c r="B133" s="278"/>
      <c r="C133" s="279"/>
      <c r="D133" s="18">
        <f>SUM(D126:D132)</f>
        <v>0.1005223329469712</v>
      </c>
      <c r="E133" s="14">
        <f>SUM(E126:E132)</f>
        <v>275.78870799999999</v>
      </c>
    </row>
    <row r="134" spans="1:5" x14ac:dyDescent="0.25">
      <c r="A134" s="35" t="s">
        <v>33</v>
      </c>
      <c r="B134" s="280" t="s">
        <v>99</v>
      </c>
      <c r="C134" s="281"/>
      <c r="D134" s="23">
        <f>ROUND(E134/E42,4)</f>
        <v>3.6999999999999998E-2</v>
      </c>
      <c r="E134" s="57">
        <f>ROUND(E133*D94,2)</f>
        <v>101.49</v>
      </c>
    </row>
    <row r="135" spans="1:5" x14ac:dyDescent="0.25">
      <c r="A135" s="240" t="s">
        <v>77</v>
      </c>
      <c r="B135" s="240"/>
      <c r="C135" s="240"/>
      <c r="D135" s="17">
        <f>ROUND(D133+D134,4)</f>
        <v>0.13750000000000001</v>
      </c>
      <c r="E135" s="3">
        <f>ROUND(E133+E134,2)</f>
        <v>377.28</v>
      </c>
    </row>
    <row r="137" spans="1:5" x14ac:dyDescent="0.25">
      <c r="A137" s="270" t="s">
        <v>100</v>
      </c>
      <c r="B137" s="271"/>
      <c r="C137" s="270" t="s">
        <v>101</v>
      </c>
      <c r="D137" s="272"/>
      <c r="E137" s="271"/>
    </row>
    <row r="138" spans="1:5" x14ac:dyDescent="0.25">
      <c r="A138" s="30">
        <v>4</v>
      </c>
      <c r="B138" s="273" t="s">
        <v>102</v>
      </c>
      <c r="C138" s="274"/>
      <c r="D138" s="30" t="s">
        <v>68</v>
      </c>
      <c r="E138" s="30" t="s">
        <v>41</v>
      </c>
    </row>
    <row r="139" spans="1:5" x14ac:dyDescent="0.25">
      <c r="A139" s="27" t="s">
        <v>60</v>
      </c>
      <c r="B139" s="239" t="s">
        <v>59</v>
      </c>
      <c r="C139" s="239"/>
      <c r="D139" s="16">
        <f>D94</f>
        <v>0.3680000000000001</v>
      </c>
      <c r="E139" s="22">
        <f>E94</f>
        <v>1009.6300000000001</v>
      </c>
    </row>
    <row r="140" spans="1:5" x14ac:dyDescent="0.25">
      <c r="A140" s="15" t="s">
        <v>78</v>
      </c>
      <c r="B140" s="275" t="s">
        <v>72</v>
      </c>
      <c r="C140" s="276"/>
      <c r="D140" s="23">
        <f>D105</f>
        <v>0.15201111111111112</v>
      </c>
      <c r="E140" s="22">
        <f>E105</f>
        <v>417.02</v>
      </c>
    </row>
    <row r="141" spans="1:5" x14ac:dyDescent="0.25">
      <c r="A141" s="27" t="s">
        <v>80</v>
      </c>
      <c r="B141" s="239" t="s">
        <v>81</v>
      </c>
      <c r="C141" s="239"/>
      <c r="D141" s="16">
        <f>D112</f>
        <v>0</v>
      </c>
      <c r="E141" s="22">
        <f>E112</f>
        <v>0</v>
      </c>
    </row>
    <row r="142" spans="1:5" x14ac:dyDescent="0.25">
      <c r="A142" s="27" t="s">
        <v>84</v>
      </c>
      <c r="B142" s="239" t="s">
        <v>85</v>
      </c>
      <c r="C142" s="239"/>
      <c r="D142" s="16">
        <f>D122</f>
        <v>0.1077</v>
      </c>
      <c r="E142" s="22">
        <f>E122</f>
        <v>295.45999999999998</v>
      </c>
    </row>
    <row r="143" spans="1:5" x14ac:dyDescent="0.25">
      <c r="A143" s="27" t="s">
        <v>96</v>
      </c>
      <c r="B143" s="231" t="s">
        <v>104</v>
      </c>
      <c r="C143" s="233"/>
      <c r="D143" s="16">
        <f>D135</f>
        <v>0.13750000000000001</v>
      </c>
      <c r="E143" s="22">
        <f>E135</f>
        <v>377.28</v>
      </c>
    </row>
    <row r="144" spans="1:5" x14ac:dyDescent="0.25">
      <c r="A144" s="243" t="s">
        <v>103</v>
      </c>
      <c r="B144" s="264" t="s">
        <v>39</v>
      </c>
      <c r="C144" s="40"/>
      <c r="D144" s="45">
        <v>0</v>
      </c>
      <c r="E144" s="65">
        <f>E58*D144</f>
        <v>0</v>
      </c>
    </row>
    <row r="145" spans="1:5" x14ac:dyDescent="0.25">
      <c r="A145" s="244"/>
      <c r="B145" s="264"/>
      <c r="C145" s="46"/>
      <c r="D145" s="47">
        <v>0</v>
      </c>
      <c r="E145" s="65">
        <f>E58*D145</f>
        <v>0</v>
      </c>
    </row>
    <row r="146" spans="1:5" x14ac:dyDescent="0.25">
      <c r="A146" s="240" t="s">
        <v>77</v>
      </c>
      <c r="B146" s="240"/>
      <c r="C146" s="240"/>
      <c r="D146" s="17">
        <f>SUM(D139:D145)</f>
        <v>0.76521111111111129</v>
      </c>
      <c r="E146" s="3">
        <f>ROUND(SUM(E139:E145),2)</f>
        <v>2099.39</v>
      </c>
    </row>
    <row r="148" spans="1:5" x14ac:dyDescent="0.25">
      <c r="A148" s="237" t="s">
        <v>105</v>
      </c>
      <c r="B148" s="237"/>
      <c r="C148" s="237" t="s">
        <v>106</v>
      </c>
      <c r="D148" s="237"/>
      <c r="E148" s="237"/>
    </row>
    <row r="149" spans="1:5" x14ac:dyDescent="0.25">
      <c r="A149" s="28">
        <v>5</v>
      </c>
      <c r="B149" s="240" t="s">
        <v>107</v>
      </c>
      <c r="C149" s="240"/>
      <c r="D149" s="28" t="s">
        <v>68</v>
      </c>
      <c r="E149" s="28" t="s">
        <v>41</v>
      </c>
    </row>
    <row r="150" spans="1:5" x14ac:dyDescent="0.25">
      <c r="A150" s="243" t="s">
        <v>3</v>
      </c>
      <c r="B150" s="247" t="s">
        <v>151</v>
      </c>
      <c r="C150" s="248"/>
      <c r="D150" s="249"/>
      <c r="E150" s="56">
        <f>E42+E58+E80+E146</f>
        <v>19809.149866666663</v>
      </c>
    </row>
    <row r="151" spans="1:5" x14ac:dyDescent="0.25">
      <c r="A151" s="244"/>
      <c r="B151" s="239" t="s">
        <v>108</v>
      </c>
      <c r="C151" s="239"/>
      <c r="D151" s="60">
        <v>5.8999999999999997E-2</v>
      </c>
      <c r="E151" s="24">
        <f>E150*D151</f>
        <v>1168.739842133333</v>
      </c>
    </row>
    <row r="152" spans="1:5" x14ac:dyDescent="0.25">
      <c r="A152" s="255" t="s">
        <v>4</v>
      </c>
      <c r="B152" s="258" t="s">
        <v>109</v>
      </c>
      <c r="C152" s="259"/>
      <c r="D152" s="259"/>
      <c r="E152" s="260"/>
    </row>
    <row r="153" spans="1:5" x14ac:dyDescent="0.25">
      <c r="A153" s="256"/>
      <c r="B153" s="261" t="s">
        <v>110</v>
      </c>
      <c r="C153" s="7" t="s">
        <v>141</v>
      </c>
      <c r="D153" s="9">
        <v>0</v>
      </c>
      <c r="E153" s="24">
        <f>ROUND((E177+E151+E165)/(1-D163)*D153,2)</f>
        <v>0</v>
      </c>
    </row>
    <row r="154" spans="1:5" x14ac:dyDescent="0.25">
      <c r="A154" s="256"/>
      <c r="B154" s="262"/>
      <c r="C154" s="7" t="s">
        <v>112</v>
      </c>
      <c r="D154" s="9">
        <v>0</v>
      </c>
      <c r="E154" s="24">
        <f>ROUND((E177+E151+E165)/(1-D163)*D154,2)</f>
        <v>0</v>
      </c>
    </row>
    <row r="155" spans="1:5" x14ac:dyDescent="0.25">
      <c r="A155" s="256"/>
      <c r="B155" s="262"/>
      <c r="C155" s="7" t="s">
        <v>111</v>
      </c>
      <c r="D155" s="9">
        <v>0.03</v>
      </c>
      <c r="E155" s="24">
        <f>ROUND((E177+E151+E165)/(1-D163)*D155,2)</f>
        <v>910.13</v>
      </c>
    </row>
    <row r="156" spans="1:5" x14ac:dyDescent="0.25">
      <c r="A156" s="256"/>
      <c r="B156" s="263"/>
      <c r="C156" s="19" t="s">
        <v>113</v>
      </c>
      <c r="D156" s="9">
        <v>6.4999999999999997E-3</v>
      </c>
      <c r="E156" s="24">
        <f>ROUND((E177+E151+E165)/(1-D163)*D156,2)</f>
        <v>197.19</v>
      </c>
    </row>
    <row r="157" spans="1:5" x14ac:dyDescent="0.25">
      <c r="A157" s="256"/>
      <c r="B157" s="264" t="s">
        <v>114</v>
      </c>
      <c r="C157" s="19"/>
      <c r="D157" s="10">
        <v>0</v>
      </c>
      <c r="E157" s="24">
        <f>ROUND((E177+E151+E165)/(1-D163)*D157,2)</f>
        <v>0</v>
      </c>
    </row>
    <row r="158" spans="1:5" x14ac:dyDescent="0.25">
      <c r="A158" s="256"/>
      <c r="B158" s="264"/>
      <c r="C158" s="19"/>
      <c r="D158" s="10">
        <v>0</v>
      </c>
      <c r="E158" s="24">
        <f>ROUND((E177+E154+E165)/(1-D163)*D158,2)</f>
        <v>0</v>
      </c>
    </row>
    <row r="159" spans="1:5" x14ac:dyDescent="0.25">
      <c r="A159" s="256"/>
      <c r="B159" s="265" t="s">
        <v>115</v>
      </c>
      <c r="C159" s="19" t="s">
        <v>116</v>
      </c>
      <c r="D159" s="44">
        <v>0.03</v>
      </c>
      <c r="E159" s="24">
        <f>ROUND((E177+E151+E165)/(1-D163)*D159,2)</f>
        <v>910.13</v>
      </c>
    </row>
    <row r="160" spans="1:5" x14ac:dyDescent="0.25">
      <c r="A160" s="256"/>
      <c r="B160" s="265"/>
      <c r="C160" s="19"/>
      <c r="D160" s="10">
        <v>0</v>
      </c>
      <c r="E160" s="24">
        <f>ROUND((E177+E151+E165)/(1-D174)*D160,2)</f>
        <v>0</v>
      </c>
    </row>
    <row r="161" spans="1:6" x14ac:dyDescent="0.25">
      <c r="A161" s="256"/>
      <c r="B161" s="266" t="s">
        <v>117</v>
      </c>
      <c r="C161" s="19" t="s">
        <v>142</v>
      </c>
      <c r="D161" s="10">
        <f>IF(D12=3,C187,0%)</f>
        <v>0</v>
      </c>
      <c r="E161" s="24">
        <f>ROUND((E177+E151+E165)/(1-D163)*D161,2)</f>
        <v>0</v>
      </c>
    </row>
    <row r="162" spans="1:6" x14ac:dyDescent="0.25">
      <c r="A162" s="256"/>
      <c r="B162" s="267"/>
      <c r="C162" s="19"/>
      <c r="D162" s="10">
        <v>0</v>
      </c>
      <c r="E162" s="24">
        <f>ROUND((E177+E151+E165)/(1-D165)*D162,2)</f>
        <v>0</v>
      </c>
    </row>
    <row r="163" spans="1:6" x14ac:dyDescent="0.25">
      <c r="A163" s="257"/>
      <c r="B163" s="268" t="s">
        <v>145</v>
      </c>
      <c r="C163" s="269"/>
      <c r="D163" s="18">
        <f>SUM(D153:D162)</f>
        <v>6.6500000000000004E-2</v>
      </c>
      <c r="E163" s="3">
        <f>ROUND(((E177+E151+E165)/(1-D163))*D163,2)</f>
        <v>2017.45</v>
      </c>
      <c r="F163" s="90"/>
    </row>
    <row r="164" spans="1:6" x14ac:dyDescent="0.25">
      <c r="A164" s="243" t="s">
        <v>5</v>
      </c>
      <c r="B164" s="247" t="s">
        <v>152</v>
      </c>
      <c r="C164" s="248"/>
      <c r="D164" s="249"/>
      <c r="E164" s="56">
        <f>E42+E58+E80+E146+E151</f>
        <v>20977.889708799998</v>
      </c>
    </row>
    <row r="165" spans="1:6" x14ac:dyDescent="0.25">
      <c r="A165" s="244"/>
      <c r="B165" s="250" t="s">
        <v>118</v>
      </c>
      <c r="C165" s="250"/>
      <c r="D165" s="64">
        <v>0.35</v>
      </c>
      <c r="E165" s="24">
        <f>(E164*D165)</f>
        <v>7342.2613980799988</v>
      </c>
    </row>
    <row r="166" spans="1:6" x14ac:dyDescent="0.25">
      <c r="A166" s="240" t="s">
        <v>77</v>
      </c>
      <c r="B166" s="240"/>
      <c r="C166" s="240"/>
      <c r="D166" s="11">
        <f>ROUND(SUM(D151+D163+D165),4)</f>
        <v>0.47549999999999998</v>
      </c>
      <c r="E166" s="3">
        <f>E151+E163+E165</f>
        <v>10528.451240213331</v>
      </c>
    </row>
    <row r="167" spans="1:6" x14ac:dyDescent="0.25">
      <c r="A167" s="8" t="s">
        <v>25</v>
      </c>
      <c r="B167" s="251" t="s">
        <v>119</v>
      </c>
      <c r="C167" s="251"/>
      <c r="D167" s="251"/>
      <c r="E167" s="252"/>
    </row>
    <row r="168" spans="1:6" x14ac:dyDescent="0.25">
      <c r="A168" s="12" t="s">
        <v>26</v>
      </c>
      <c r="B168" s="253" t="s">
        <v>120</v>
      </c>
      <c r="C168" s="253"/>
      <c r="D168" s="253"/>
      <c r="E168" s="254"/>
    </row>
    <row r="169" spans="1:6" x14ac:dyDescent="0.25">
      <c r="A169" s="50"/>
      <c r="B169" s="51"/>
      <c r="C169" s="51"/>
      <c r="D169" s="51"/>
      <c r="E169" s="51"/>
    </row>
    <row r="170" spans="1:6" ht="26.25" x14ac:dyDescent="0.4">
      <c r="A170" s="236" t="s">
        <v>178</v>
      </c>
      <c r="B170" s="236"/>
      <c r="C170" s="236"/>
      <c r="D170" s="236"/>
      <c r="E170" s="236"/>
    </row>
    <row r="171" spans="1:6" x14ac:dyDescent="0.25">
      <c r="A171" s="237" t="s">
        <v>121</v>
      </c>
      <c r="B171" s="237"/>
      <c r="C171" s="237"/>
      <c r="D171" s="237"/>
      <c r="E171" s="237"/>
    </row>
    <row r="172" spans="1:6" x14ac:dyDescent="0.25">
      <c r="A172" s="238" t="s">
        <v>122</v>
      </c>
      <c r="B172" s="238"/>
      <c r="C172" s="238"/>
      <c r="D172" s="238"/>
      <c r="E172" s="69" t="s">
        <v>129</v>
      </c>
    </row>
    <row r="173" spans="1:6" x14ac:dyDescent="0.25">
      <c r="A173" s="27" t="s">
        <v>3</v>
      </c>
      <c r="B173" s="239" t="s">
        <v>125</v>
      </c>
      <c r="C173" s="239"/>
      <c r="D173" s="239"/>
      <c r="E173" s="25">
        <f>E42</f>
        <v>2743.54</v>
      </c>
    </row>
    <row r="174" spans="1:6" x14ac:dyDescent="0.25">
      <c r="A174" s="27" t="s">
        <v>4</v>
      </c>
      <c r="B174" s="239" t="s">
        <v>126</v>
      </c>
      <c r="C174" s="239"/>
      <c r="D174" s="239"/>
      <c r="E174" s="25">
        <f>E58</f>
        <v>663.14133333333336</v>
      </c>
    </row>
    <row r="175" spans="1:6" x14ac:dyDescent="0.25">
      <c r="A175" s="27" t="s">
        <v>5</v>
      </c>
      <c r="B175" s="239" t="s">
        <v>127</v>
      </c>
      <c r="C175" s="239"/>
      <c r="D175" s="239"/>
      <c r="E175" s="25">
        <f>E80</f>
        <v>14303.078533333332</v>
      </c>
    </row>
    <row r="176" spans="1:6" x14ac:dyDescent="0.25">
      <c r="A176" s="27" t="s">
        <v>6</v>
      </c>
      <c r="B176" s="239" t="s">
        <v>102</v>
      </c>
      <c r="C176" s="239"/>
      <c r="D176" s="239"/>
      <c r="E176" s="25">
        <f>E146</f>
        <v>2099.39</v>
      </c>
    </row>
    <row r="177" spans="1:6" x14ac:dyDescent="0.25">
      <c r="A177" s="240" t="s">
        <v>123</v>
      </c>
      <c r="B177" s="240"/>
      <c r="C177" s="240"/>
      <c r="D177" s="240"/>
      <c r="E177" s="20">
        <f>SUM(E173:E176)</f>
        <v>19809.149866666663</v>
      </c>
    </row>
    <row r="178" spans="1:6" x14ac:dyDescent="0.25">
      <c r="A178" s="27" t="s">
        <v>31</v>
      </c>
      <c r="B178" s="231" t="s">
        <v>128</v>
      </c>
      <c r="C178" s="232"/>
      <c r="D178" s="233"/>
      <c r="E178" s="25">
        <f>E166</f>
        <v>10528.451240213331</v>
      </c>
    </row>
    <row r="179" spans="1:6" x14ac:dyDescent="0.25">
      <c r="A179" s="234" t="s">
        <v>124</v>
      </c>
      <c r="B179" s="235"/>
      <c r="C179" s="235"/>
      <c r="D179" s="235"/>
      <c r="E179" s="21">
        <f>E177+E178</f>
        <v>30337.601106879993</v>
      </c>
      <c r="F179" s="90"/>
    </row>
    <row r="180" spans="1:6" x14ac:dyDescent="0.25">
      <c r="A180" s="234" t="s">
        <v>175</v>
      </c>
      <c r="B180" s="235"/>
      <c r="C180" s="235"/>
      <c r="D180" s="235"/>
      <c r="E180" s="21">
        <f>ROUND((E179/D21),2)</f>
        <v>11.28</v>
      </c>
    </row>
    <row r="182" spans="1:6" x14ac:dyDescent="0.25">
      <c r="B182" s="350" t="s">
        <v>159</v>
      </c>
      <c r="C182" s="350"/>
      <c r="D182" s="350"/>
      <c r="E182" s="350"/>
    </row>
    <row r="183" spans="1:6" x14ac:dyDescent="0.25">
      <c r="B183" s="353" t="s">
        <v>155</v>
      </c>
      <c r="C183" s="353"/>
      <c r="D183" s="351" t="s">
        <v>160</v>
      </c>
      <c r="E183" s="351"/>
    </row>
    <row r="184" spans="1:6" x14ac:dyDescent="0.25">
      <c r="B184" s="72" t="s">
        <v>156</v>
      </c>
      <c r="C184" s="72" t="s">
        <v>157</v>
      </c>
      <c r="D184" s="352">
        <v>0</v>
      </c>
      <c r="E184" s="352"/>
    </row>
    <row r="185" spans="1:6" x14ac:dyDescent="0.25">
      <c r="B185" s="72" t="s">
        <v>111</v>
      </c>
      <c r="C185" s="67">
        <v>0</v>
      </c>
      <c r="D185" s="227" t="s">
        <v>176</v>
      </c>
      <c r="E185" s="228"/>
    </row>
    <row r="186" spans="1:6" x14ac:dyDescent="0.25">
      <c r="B186" s="72" t="s">
        <v>113</v>
      </c>
      <c r="C186" s="67">
        <v>0</v>
      </c>
      <c r="D186" s="229"/>
      <c r="E186" s="230"/>
    </row>
    <row r="187" spans="1:6" x14ac:dyDescent="0.25">
      <c r="B187" s="72" t="s">
        <v>158</v>
      </c>
      <c r="C187" s="67">
        <v>0</v>
      </c>
    </row>
  </sheetData>
  <mergeCells count="190">
    <mergeCell ref="I18:J18"/>
    <mergeCell ref="A4:E4"/>
    <mergeCell ref="A5:E5"/>
    <mergeCell ref="A6:E6"/>
    <mergeCell ref="A1:E1"/>
    <mergeCell ref="A180:D180"/>
    <mergeCell ref="B182:E182"/>
    <mergeCell ref="D183:E183"/>
    <mergeCell ref="D184:E184"/>
    <mergeCell ref="B183:C183"/>
    <mergeCell ref="B108:C108"/>
    <mergeCell ref="B109:C109"/>
    <mergeCell ref="B115:C115"/>
    <mergeCell ref="B116:C116"/>
    <mergeCell ref="A2:E2"/>
    <mergeCell ref="A3:E3"/>
    <mergeCell ref="B7:C7"/>
    <mergeCell ref="A9:E9"/>
    <mergeCell ref="A10:B10"/>
    <mergeCell ref="C10:E10"/>
    <mergeCell ref="A11:B11"/>
    <mergeCell ref="C11:E11"/>
    <mergeCell ref="A12:C12"/>
    <mergeCell ref="A13:E13"/>
    <mergeCell ref="B14:D14"/>
    <mergeCell ref="B15:C15"/>
    <mergeCell ref="D15:E15"/>
    <mergeCell ref="B16:D16"/>
    <mergeCell ref="B17:D17"/>
    <mergeCell ref="A18:E18"/>
    <mergeCell ref="A19:B19"/>
    <mergeCell ref="D19:E19"/>
    <mergeCell ref="A20:B20"/>
    <mergeCell ref="D20:E20"/>
    <mergeCell ref="A21:C21"/>
    <mergeCell ref="D21:E21"/>
    <mergeCell ref="B22:E22"/>
    <mergeCell ref="B23:E23"/>
    <mergeCell ref="B24:E24"/>
    <mergeCell ref="B25:E25"/>
    <mergeCell ref="A27:E27"/>
    <mergeCell ref="A28:E28"/>
    <mergeCell ref="A29:E29"/>
    <mergeCell ref="A30:E30"/>
    <mergeCell ref="B31:D31"/>
    <mergeCell ref="B32:D32"/>
    <mergeCell ref="B33:D33"/>
    <mergeCell ref="B34:D34"/>
    <mergeCell ref="B35:E35"/>
    <mergeCell ref="A36:B36"/>
    <mergeCell ref="C36:E36"/>
    <mergeCell ref="B37:D37"/>
    <mergeCell ref="B38:D38"/>
    <mergeCell ref="B39:D39"/>
    <mergeCell ref="A40:A41"/>
    <mergeCell ref="B40:B41"/>
    <mergeCell ref="E40:E41"/>
    <mergeCell ref="A42:D42"/>
    <mergeCell ref="A43:B43"/>
    <mergeCell ref="C43:E43"/>
    <mergeCell ref="B44:D44"/>
    <mergeCell ref="A45:A47"/>
    <mergeCell ref="B45:B47"/>
    <mergeCell ref="E45:E47"/>
    <mergeCell ref="A48:A50"/>
    <mergeCell ref="B48:B50"/>
    <mergeCell ref="E48:E50"/>
    <mergeCell ref="A55:A57"/>
    <mergeCell ref="B55:B57"/>
    <mergeCell ref="C55:D55"/>
    <mergeCell ref="C56:D56"/>
    <mergeCell ref="C57:D57"/>
    <mergeCell ref="E51:E52"/>
    <mergeCell ref="B53:C53"/>
    <mergeCell ref="B54:C54"/>
    <mergeCell ref="A58:D58"/>
    <mergeCell ref="A76:A77"/>
    <mergeCell ref="B59:E59"/>
    <mergeCell ref="B60:E60"/>
    <mergeCell ref="A62:B62"/>
    <mergeCell ref="C62:E62"/>
    <mergeCell ref="B63:D63"/>
    <mergeCell ref="B64:B65"/>
    <mergeCell ref="A64:A65"/>
    <mergeCell ref="E64:E65"/>
    <mergeCell ref="B76:B77"/>
    <mergeCell ref="E76:E77"/>
    <mergeCell ref="E72:E75"/>
    <mergeCell ref="A72:A75"/>
    <mergeCell ref="A80:D80"/>
    <mergeCell ref="B81:E81"/>
    <mergeCell ref="A83:B83"/>
    <mergeCell ref="C83:E83"/>
    <mergeCell ref="A84:B84"/>
    <mergeCell ref="C84:E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A94:C94"/>
    <mergeCell ref="B95:E95"/>
    <mergeCell ref="B96:E96"/>
    <mergeCell ref="A98:B98"/>
    <mergeCell ref="C98:E98"/>
    <mergeCell ref="B99:C99"/>
    <mergeCell ref="B100:C100"/>
    <mergeCell ref="B101:C101"/>
    <mergeCell ref="A102:C102"/>
    <mergeCell ref="A103:A104"/>
    <mergeCell ref="B103:C104"/>
    <mergeCell ref="D103:D104"/>
    <mergeCell ref="E103:E104"/>
    <mergeCell ref="A105:C105"/>
    <mergeCell ref="A107:B107"/>
    <mergeCell ref="C107:E107"/>
    <mergeCell ref="A110:A111"/>
    <mergeCell ref="B110:C111"/>
    <mergeCell ref="D110:D111"/>
    <mergeCell ref="E110:E111"/>
    <mergeCell ref="A112:C112"/>
    <mergeCell ref="A114:B114"/>
    <mergeCell ref="C114:E114"/>
    <mergeCell ref="B117:C117"/>
    <mergeCell ref="B118:C118"/>
    <mergeCell ref="B119:C119"/>
    <mergeCell ref="B120:C120"/>
    <mergeCell ref="B121:C121"/>
    <mergeCell ref="A122:C122"/>
    <mergeCell ref="A124:B124"/>
    <mergeCell ref="C124:E124"/>
    <mergeCell ref="B125:C125"/>
    <mergeCell ref="B126:C126"/>
    <mergeCell ref="B127:C127"/>
    <mergeCell ref="B128:C128"/>
    <mergeCell ref="B129:C129"/>
    <mergeCell ref="B130:C130"/>
    <mergeCell ref="A131:A132"/>
    <mergeCell ref="B131:B132"/>
    <mergeCell ref="A133:C133"/>
    <mergeCell ref="B134:C134"/>
    <mergeCell ref="B150:D150"/>
    <mergeCell ref="B151:C151"/>
    <mergeCell ref="A135:C135"/>
    <mergeCell ref="A137:B137"/>
    <mergeCell ref="C137:E137"/>
    <mergeCell ref="B138:C138"/>
    <mergeCell ref="B139:C139"/>
    <mergeCell ref="B140:C140"/>
    <mergeCell ref="B141:C141"/>
    <mergeCell ref="B142:C142"/>
    <mergeCell ref="B143:C143"/>
    <mergeCell ref="B78:B79"/>
    <mergeCell ref="A78:A79"/>
    <mergeCell ref="E78:E79"/>
    <mergeCell ref="B176:D176"/>
    <mergeCell ref="A164:A165"/>
    <mergeCell ref="B164:D164"/>
    <mergeCell ref="B165:C165"/>
    <mergeCell ref="A166:C166"/>
    <mergeCell ref="B167:E167"/>
    <mergeCell ref="B168:E168"/>
    <mergeCell ref="A152:A163"/>
    <mergeCell ref="B152:E152"/>
    <mergeCell ref="B153:B156"/>
    <mergeCell ref="B157:B158"/>
    <mergeCell ref="B159:B160"/>
    <mergeCell ref="B161:B162"/>
    <mergeCell ref="B163:C163"/>
    <mergeCell ref="A144:A145"/>
    <mergeCell ref="B144:B145"/>
    <mergeCell ref="A146:C146"/>
    <mergeCell ref="A148:B148"/>
    <mergeCell ref="C148:E148"/>
    <mergeCell ref="B149:C149"/>
    <mergeCell ref="A150:A151"/>
    <mergeCell ref="D185:E186"/>
    <mergeCell ref="B178:D178"/>
    <mergeCell ref="A179:D179"/>
    <mergeCell ref="A170:E170"/>
    <mergeCell ref="A171:E171"/>
    <mergeCell ref="A172:D172"/>
    <mergeCell ref="B173:D173"/>
    <mergeCell ref="B174:D174"/>
    <mergeCell ref="B175:D175"/>
    <mergeCell ref="A177:D177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1200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9" t="s">
        <v>179</v>
      </c>
      <c r="B1" s="489"/>
      <c r="C1" s="489"/>
      <c r="D1" s="489"/>
      <c r="E1" s="489"/>
      <c r="F1" s="104"/>
      <c r="G1" s="104"/>
    </row>
    <row r="2" spans="1:7" x14ac:dyDescent="0.25">
      <c r="A2" s="381"/>
      <c r="B2" s="381"/>
      <c r="C2" s="381"/>
      <c r="D2" s="381"/>
      <c r="E2" s="381"/>
      <c r="F2" s="104"/>
      <c r="G2" s="104"/>
    </row>
    <row r="3" spans="1:7" x14ac:dyDescent="0.25">
      <c r="A3" s="377" t="s">
        <v>184</v>
      </c>
      <c r="B3" s="378"/>
      <c r="C3" s="378"/>
      <c r="D3" s="378"/>
      <c r="E3" s="430"/>
      <c r="F3" s="104"/>
      <c r="G3" s="104"/>
    </row>
    <row r="4" spans="1:7" x14ac:dyDescent="0.25">
      <c r="A4" s="111" t="s">
        <v>135</v>
      </c>
      <c r="B4" s="490"/>
      <c r="C4" s="491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477" t="s">
        <v>137</v>
      </c>
      <c r="B6" s="477"/>
      <c r="C6" s="477"/>
      <c r="D6" s="477"/>
      <c r="E6" s="477"/>
      <c r="F6" s="104"/>
      <c r="G6" s="104"/>
    </row>
    <row r="7" spans="1:7" x14ac:dyDescent="0.25">
      <c r="A7" s="480" t="s">
        <v>138</v>
      </c>
      <c r="B7" s="480"/>
      <c r="C7" s="492"/>
      <c r="D7" s="492"/>
      <c r="E7" s="492"/>
      <c r="F7" s="104"/>
      <c r="G7" s="104"/>
    </row>
    <row r="8" spans="1:7" x14ac:dyDescent="0.25">
      <c r="A8" s="480" t="s">
        <v>139</v>
      </c>
      <c r="B8" s="480"/>
      <c r="C8" s="481"/>
      <c r="D8" s="482"/>
      <c r="E8" s="483"/>
      <c r="F8" s="104"/>
      <c r="G8" s="104"/>
    </row>
    <row r="9" spans="1:7" x14ac:dyDescent="0.25">
      <c r="A9" s="484" t="s">
        <v>140</v>
      </c>
      <c r="B9" s="485"/>
      <c r="C9" s="486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477" t="s">
        <v>174</v>
      </c>
      <c r="B10" s="477"/>
      <c r="C10" s="477"/>
      <c r="D10" s="477"/>
      <c r="E10" s="477"/>
      <c r="F10" s="104"/>
      <c r="G10" s="104"/>
    </row>
    <row r="11" spans="1:7" x14ac:dyDescent="0.25">
      <c r="A11" s="119" t="s">
        <v>3</v>
      </c>
      <c r="B11" s="372" t="s">
        <v>7</v>
      </c>
      <c r="C11" s="372"/>
      <c r="D11" s="372"/>
      <c r="E11" s="120"/>
      <c r="F11" s="104"/>
      <c r="G11" s="104"/>
    </row>
    <row r="12" spans="1:7" x14ac:dyDescent="0.25">
      <c r="A12" s="119" t="s">
        <v>4</v>
      </c>
      <c r="B12" s="374" t="s">
        <v>8</v>
      </c>
      <c r="C12" s="375"/>
      <c r="D12" s="487" t="s">
        <v>180</v>
      </c>
      <c r="E12" s="488"/>
      <c r="F12" s="104"/>
      <c r="G12" s="104"/>
    </row>
    <row r="13" spans="1:7" x14ac:dyDescent="0.25">
      <c r="A13" s="119" t="s">
        <v>5</v>
      </c>
      <c r="B13" s="372" t="s">
        <v>9</v>
      </c>
      <c r="C13" s="372"/>
      <c r="D13" s="372"/>
      <c r="E13" s="121" t="s">
        <v>181</v>
      </c>
      <c r="F13" s="104"/>
      <c r="G13" s="104"/>
    </row>
    <row r="14" spans="1:7" x14ac:dyDescent="0.25">
      <c r="A14" s="119" t="s">
        <v>6</v>
      </c>
      <c r="B14" s="372" t="s">
        <v>10</v>
      </c>
      <c r="C14" s="372"/>
      <c r="D14" s="372"/>
      <c r="E14" s="122">
        <v>10</v>
      </c>
      <c r="F14" s="104"/>
      <c r="G14" s="104"/>
    </row>
    <row r="15" spans="1:7" x14ac:dyDescent="0.25">
      <c r="A15" s="477" t="s">
        <v>134</v>
      </c>
      <c r="B15" s="477"/>
      <c r="C15" s="477"/>
      <c r="D15" s="477"/>
      <c r="E15" s="477"/>
      <c r="F15" s="104"/>
      <c r="G15" s="104"/>
    </row>
    <row r="16" spans="1:7" x14ac:dyDescent="0.25">
      <c r="A16" s="383" t="s">
        <v>11</v>
      </c>
      <c r="B16" s="383"/>
      <c r="C16" s="123" t="s">
        <v>12</v>
      </c>
      <c r="D16" s="383" t="s">
        <v>13</v>
      </c>
      <c r="E16" s="383"/>
      <c r="F16" s="104"/>
      <c r="G16" s="104"/>
    </row>
    <row r="17" spans="1:7" x14ac:dyDescent="0.25">
      <c r="A17" s="383" t="s">
        <v>163</v>
      </c>
      <c r="B17" s="383"/>
      <c r="C17" s="124" t="s">
        <v>182</v>
      </c>
      <c r="D17" s="478">
        <v>750.64</v>
      </c>
      <c r="E17" s="479"/>
      <c r="F17" s="104"/>
      <c r="G17" s="104"/>
    </row>
    <row r="18" spans="1:7" x14ac:dyDescent="0.25">
      <c r="A18" s="470" t="s">
        <v>153</v>
      </c>
      <c r="B18" s="471"/>
      <c r="C18" s="472"/>
      <c r="D18" s="473">
        <f>SUM(D17)</f>
        <v>750.64</v>
      </c>
      <c r="E18" s="474"/>
      <c r="F18" s="104"/>
      <c r="G18" s="104"/>
    </row>
    <row r="19" spans="1:7" x14ac:dyDescent="0.25">
      <c r="A19" s="125" t="s">
        <v>25</v>
      </c>
      <c r="B19" s="392" t="s">
        <v>14</v>
      </c>
      <c r="C19" s="392"/>
      <c r="D19" s="392"/>
      <c r="E19" s="393"/>
      <c r="F19" s="104"/>
      <c r="G19" s="104"/>
    </row>
    <row r="20" spans="1:7" x14ac:dyDescent="0.25">
      <c r="A20" s="126"/>
      <c r="B20" s="475" t="s">
        <v>15</v>
      </c>
      <c r="C20" s="475"/>
      <c r="D20" s="475"/>
      <c r="E20" s="476"/>
      <c r="F20" s="104"/>
      <c r="G20" s="104"/>
    </row>
    <row r="21" spans="1:7" x14ac:dyDescent="0.25">
      <c r="A21" s="125" t="s">
        <v>26</v>
      </c>
      <c r="B21" s="392" t="s">
        <v>16</v>
      </c>
      <c r="C21" s="392"/>
      <c r="D21" s="392"/>
      <c r="E21" s="393"/>
      <c r="F21" s="104"/>
      <c r="G21" s="104"/>
    </row>
    <row r="22" spans="1:7" x14ac:dyDescent="0.25">
      <c r="A22" s="126"/>
      <c r="B22" s="379" t="s">
        <v>17</v>
      </c>
      <c r="C22" s="379"/>
      <c r="D22" s="379"/>
      <c r="E22" s="380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81" t="s">
        <v>177</v>
      </c>
      <c r="B24" s="381"/>
      <c r="C24" s="381"/>
      <c r="D24" s="381"/>
      <c r="E24" s="381"/>
      <c r="F24" s="104"/>
      <c r="G24" s="104"/>
    </row>
    <row r="25" spans="1:7" x14ac:dyDescent="0.25">
      <c r="A25" s="382" t="s">
        <v>18</v>
      </c>
      <c r="B25" s="382"/>
      <c r="C25" s="382"/>
      <c r="D25" s="382"/>
      <c r="E25" s="382"/>
      <c r="F25" s="104"/>
      <c r="G25" s="104"/>
    </row>
    <row r="26" spans="1:7" x14ac:dyDescent="0.25">
      <c r="A26" s="373" t="s">
        <v>19</v>
      </c>
      <c r="B26" s="373"/>
      <c r="C26" s="373"/>
      <c r="D26" s="373"/>
      <c r="E26" s="373"/>
      <c r="F26" s="104"/>
      <c r="G26" s="104"/>
    </row>
    <row r="27" spans="1:7" x14ac:dyDescent="0.25">
      <c r="A27" s="372" t="s">
        <v>20</v>
      </c>
      <c r="B27" s="372"/>
      <c r="C27" s="372"/>
      <c r="D27" s="372"/>
      <c r="E27" s="372"/>
      <c r="F27" s="104"/>
      <c r="G27" s="104"/>
    </row>
    <row r="28" spans="1:7" x14ac:dyDescent="0.25">
      <c r="A28" s="119">
        <v>1</v>
      </c>
      <c r="B28" s="372" t="s">
        <v>21</v>
      </c>
      <c r="C28" s="372"/>
      <c r="D28" s="372"/>
      <c r="E28" s="128" t="s">
        <v>163</v>
      </c>
      <c r="F28" s="104"/>
      <c r="G28" s="104"/>
    </row>
    <row r="29" spans="1:7" x14ac:dyDescent="0.25">
      <c r="A29" s="119">
        <v>2</v>
      </c>
      <c r="B29" s="372" t="s">
        <v>22</v>
      </c>
      <c r="C29" s="372"/>
      <c r="D29" s="372"/>
      <c r="E29" s="129">
        <v>1869</v>
      </c>
      <c r="F29" s="104"/>
      <c r="G29" s="104"/>
    </row>
    <row r="30" spans="1:7" x14ac:dyDescent="0.25">
      <c r="A30" s="119">
        <v>3</v>
      </c>
      <c r="B30" s="372" t="s">
        <v>23</v>
      </c>
      <c r="C30" s="372"/>
      <c r="D30" s="372"/>
      <c r="E30" s="128" t="s">
        <v>164</v>
      </c>
      <c r="F30" s="104"/>
      <c r="G30" s="104"/>
    </row>
    <row r="31" spans="1:7" x14ac:dyDescent="0.25">
      <c r="A31" s="119">
        <v>4</v>
      </c>
      <c r="B31" s="372" t="s">
        <v>24</v>
      </c>
      <c r="C31" s="372"/>
      <c r="D31" s="372"/>
      <c r="E31" s="130">
        <v>43831</v>
      </c>
      <c r="F31" s="104"/>
      <c r="G31" s="104"/>
    </row>
    <row r="32" spans="1:7" x14ac:dyDescent="0.25">
      <c r="A32" s="131" t="s">
        <v>27</v>
      </c>
      <c r="B32" s="433" t="s">
        <v>28</v>
      </c>
      <c r="C32" s="433"/>
      <c r="D32" s="433"/>
      <c r="E32" s="434"/>
      <c r="F32" s="104"/>
      <c r="G32" s="104"/>
    </row>
    <row r="33" spans="1:7" x14ac:dyDescent="0.25">
      <c r="A33" s="382" t="s">
        <v>29</v>
      </c>
      <c r="B33" s="382"/>
      <c r="C33" s="382" t="s">
        <v>30</v>
      </c>
      <c r="D33" s="382"/>
      <c r="E33" s="382"/>
      <c r="F33" s="104"/>
      <c r="G33" s="104"/>
    </row>
    <row r="34" spans="1:7" x14ac:dyDescent="0.25">
      <c r="A34" s="132">
        <v>1</v>
      </c>
      <c r="B34" s="373" t="s">
        <v>35</v>
      </c>
      <c r="C34" s="373"/>
      <c r="D34" s="373"/>
      <c r="E34" s="132" t="s">
        <v>41</v>
      </c>
      <c r="F34" s="104"/>
      <c r="G34" s="104"/>
    </row>
    <row r="35" spans="1:7" x14ac:dyDescent="0.25">
      <c r="A35" s="133" t="s">
        <v>3</v>
      </c>
      <c r="B35" s="463" t="s">
        <v>36</v>
      </c>
      <c r="C35" s="463"/>
      <c r="D35" s="463"/>
      <c r="E35" s="134">
        <v>1869</v>
      </c>
      <c r="F35" s="104"/>
      <c r="G35" s="104"/>
    </row>
    <row r="36" spans="1:7" x14ac:dyDescent="0.25">
      <c r="A36" s="133" t="s">
        <v>4</v>
      </c>
      <c r="B36" s="463" t="s">
        <v>38</v>
      </c>
      <c r="C36" s="463"/>
      <c r="D36" s="463"/>
      <c r="E36" s="135">
        <v>0</v>
      </c>
      <c r="F36" s="104"/>
      <c r="G36" s="104"/>
    </row>
    <row r="37" spans="1:7" x14ac:dyDescent="0.25">
      <c r="A37" s="464" t="s">
        <v>5</v>
      </c>
      <c r="B37" s="466" t="s">
        <v>37</v>
      </c>
      <c r="C37" s="136" t="s">
        <v>147</v>
      </c>
      <c r="D37" s="137">
        <v>1869</v>
      </c>
      <c r="E37" s="468">
        <f>D37*D38</f>
        <v>0</v>
      </c>
      <c r="F37" s="104"/>
      <c r="G37" s="104"/>
    </row>
    <row r="38" spans="1:7" x14ac:dyDescent="0.25">
      <c r="A38" s="465"/>
      <c r="B38" s="467"/>
      <c r="C38" s="138" t="s">
        <v>148</v>
      </c>
      <c r="D38" s="139">
        <v>0</v>
      </c>
      <c r="E38" s="469"/>
      <c r="F38" s="104"/>
      <c r="G38" s="104"/>
    </row>
    <row r="39" spans="1:7" x14ac:dyDescent="0.25">
      <c r="A39" s="373" t="s">
        <v>40</v>
      </c>
      <c r="B39" s="373"/>
      <c r="C39" s="373"/>
      <c r="D39" s="373"/>
      <c r="E39" s="140">
        <f>SUM(E35:E38)</f>
        <v>1869</v>
      </c>
      <c r="F39" s="104"/>
      <c r="G39" s="104"/>
    </row>
    <row r="40" spans="1:7" x14ac:dyDescent="0.25">
      <c r="A40" s="382" t="s">
        <v>42</v>
      </c>
      <c r="B40" s="382"/>
      <c r="C40" s="382" t="s">
        <v>43</v>
      </c>
      <c r="D40" s="382"/>
      <c r="E40" s="382"/>
      <c r="F40" s="104"/>
      <c r="G40" s="104"/>
    </row>
    <row r="41" spans="1:7" x14ac:dyDescent="0.25">
      <c r="A41" s="132">
        <v>2</v>
      </c>
      <c r="B41" s="373" t="s">
        <v>44</v>
      </c>
      <c r="C41" s="373"/>
      <c r="D41" s="373"/>
      <c r="E41" s="132"/>
      <c r="F41" s="104"/>
      <c r="G41" s="104"/>
    </row>
    <row r="42" spans="1:7" x14ac:dyDescent="0.25">
      <c r="A42" s="386" t="s">
        <v>3</v>
      </c>
      <c r="B42" s="459" t="s">
        <v>45</v>
      </c>
      <c r="C42" s="141" t="s">
        <v>131</v>
      </c>
      <c r="D42" s="142">
        <v>1869</v>
      </c>
      <c r="E42" s="462">
        <f>IF(D43&gt;0,(D43*D44-(D42*6%)),0)</f>
        <v>0</v>
      </c>
      <c r="F42" s="104"/>
      <c r="G42" s="104"/>
    </row>
    <row r="43" spans="1:7" x14ac:dyDescent="0.25">
      <c r="A43" s="451"/>
      <c r="B43" s="460"/>
      <c r="C43" s="141" t="s">
        <v>132</v>
      </c>
      <c r="D43" s="143">
        <v>0</v>
      </c>
      <c r="E43" s="462"/>
      <c r="F43" s="104"/>
      <c r="G43" s="104"/>
    </row>
    <row r="44" spans="1:7" x14ac:dyDescent="0.25">
      <c r="A44" s="387"/>
      <c r="B44" s="461"/>
      <c r="C44" s="141" t="s">
        <v>130</v>
      </c>
      <c r="D44" s="144">
        <v>0</v>
      </c>
      <c r="E44" s="462"/>
      <c r="F44" s="104"/>
      <c r="G44" s="104"/>
    </row>
    <row r="45" spans="1:7" x14ac:dyDescent="0.25">
      <c r="A45" s="386" t="s">
        <v>4</v>
      </c>
      <c r="B45" s="452" t="s">
        <v>46</v>
      </c>
      <c r="C45" s="141" t="s">
        <v>149</v>
      </c>
      <c r="D45" s="145">
        <v>7</v>
      </c>
      <c r="E45" s="455">
        <f>ROUND((D45*D46)-((D45*D46)*D47),2)</f>
        <v>143.22</v>
      </c>
      <c r="F45" s="104"/>
      <c r="G45" s="104"/>
    </row>
    <row r="46" spans="1:7" x14ac:dyDescent="0.25">
      <c r="A46" s="451"/>
      <c r="B46" s="453"/>
      <c r="C46" s="141" t="s">
        <v>150</v>
      </c>
      <c r="D46" s="146">
        <v>22</v>
      </c>
      <c r="E46" s="456"/>
      <c r="F46" s="104"/>
      <c r="G46" s="104"/>
    </row>
    <row r="47" spans="1:7" x14ac:dyDescent="0.25">
      <c r="A47" s="387"/>
      <c r="B47" s="454"/>
      <c r="C47" s="147" t="s">
        <v>133</v>
      </c>
      <c r="D47" s="148">
        <v>7.0000000000000007E-2</v>
      </c>
      <c r="E47" s="457"/>
      <c r="F47" s="104"/>
      <c r="G47" s="104"/>
    </row>
    <row r="48" spans="1:7" x14ac:dyDescent="0.25">
      <c r="A48" s="119" t="s">
        <v>5</v>
      </c>
      <c r="B48" s="458" t="s">
        <v>47</v>
      </c>
      <c r="C48" s="458"/>
      <c r="D48" s="458"/>
      <c r="E48" s="149">
        <v>0</v>
      </c>
      <c r="F48" s="104"/>
      <c r="G48" s="104"/>
    </row>
    <row r="49" spans="1:7" x14ac:dyDescent="0.25">
      <c r="A49" s="119" t="s">
        <v>6</v>
      </c>
      <c r="B49" s="458"/>
      <c r="C49" s="458"/>
      <c r="D49" s="458"/>
      <c r="E49" s="149"/>
      <c r="F49" s="104"/>
      <c r="G49" s="104"/>
    </row>
    <row r="50" spans="1:7" x14ac:dyDescent="0.25">
      <c r="A50" s="119" t="s">
        <v>31</v>
      </c>
      <c r="B50" s="458" t="s">
        <v>154</v>
      </c>
      <c r="C50" s="458"/>
      <c r="D50" s="458"/>
      <c r="E50" s="149">
        <v>0</v>
      </c>
      <c r="F50" s="104"/>
      <c r="G50" s="104"/>
    </row>
    <row r="51" spans="1:7" x14ac:dyDescent="0.25">
      <c r="A51" s="435" t="s">
        <v>32</v>
      </c>
      <c r="B51" s="447" t="s">
        <v>39</v>
      </c>
      <c r="C51" s="450"/>
      <c r="D51" s="450"/>
      <c r="E51" s="150"/>
      <c r="F51" s="104"/>
      <c r="G51" s="104"/>
    </row>
    <row r="52" spans="1:7" x14ac:dyDescent="0.25">
      <c r="A52" s="435"/>
      <c r="B52" s="448"/>
      <c r="C52" s="450"/>
      <c r="D52" s="450"/>
      <c r="E52" s="150"/>
      <c r="F52" s="104"/>
      <c r="G52" s="104"/>
    </row>
    <row r="53" spans="1:7" x14ac:dyDescent="0.25">
      <c r="A53" s="435"/>
      <c r="B53" s="449"/>
      <c r="C53" s="450"/>
      <c r="D53" s="450"/>
      <c r="E53" s="150"/>
      <c r="F53" s="104"/>
      <c r="G53" s="104"/>
    </row>
    <row r="54" spans="1:7" x14ac:dyDescent="0.25">
      <c r="A54" s="373" t="s">
        <v>48</v>
      </c>
      <c r="B54" s="373"/>
      <c r="C54" s="373"/>
      <c r="D54" s="373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41" t="s">
        <v>49</v>
      </c>
      <c r="C55" s="441"/>
      <c r="D55" s="441"/>
      <c r="E55" s="442"/>
      <c r="F55" s="104"/>
      <c r="G55" s="104"/>
    </row>
    <row r="56" spans="1:7" x14ac:dyDescent="0.25">
      <c r="A56" s="126"/>
      <c r="B56" s="379" t="s">
        <v>50</v>
      </c>
      <c r="C56" s="379"/>
      <c r="D56" s="379"/>
      <c r="E56" s="380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82" t="s">
        <v>51</v>
      </c>
      <c r="B58" s="382"/>
      <c r="C58" s="382" t="s">
        <v>52</v>
      </c>
      <c r="D58" s="382"/>
      <c r="E58" s="382"/>
      <c r="F58" s="104"/>
      <c r="G58" s="104"/>
    </row>
    <row r="59" spans="1:7" x14ac:dyDescent="0.25">
      <c r="A59" s="132">
        <v>3</v>
      </c>
      <c r="B59" s="373" t="s">
        <v>53</v>
      </c>
      <c r="C59" s="373"/>
      <c r="D59" s="373"/>
      <c r="E59" s="132" t="s">
        <v>41</v>
      </c>
      <c r="F59" s="104"/>
      <c r="G59" s="104"/>
    </row>
    <row r="60" spans="1:7" x14ac:dyDescent="0.25">
      <c r="A60" s="386" t="s">
        <v>3</v>
      </c>
      <c r="B60" s="443" t="s">
        <v>165</v>
      </c>
      <c r="C60" s="152" t="s">
        <v>167</v>
      </c>
      <c r="D60" s="152" t="s">
        <v>166</v>
      </c>
      <c r="E60" s="445">
        <f>(D17/C61)*D61</f>
        <v>975.83199999999999</v>
      </c>
      <c r="F60" s="104"/>
      <c r="G60" s="104"/>
    </row>
    <row r="61" spans="1:7" x14ac:dyDescent="0.25">
      <c r="A61" s="387"/>
      <c r="B61" s="444"/>
      <c r="C61" s="153">
        <v>3</v>
      </c>
      <c r="D61" s="154">
        <v>3.9</v>
      </c>
      <c r="E61" s="446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35" t="s">
        <v>5</v>
      </c>
      <c r="B63" s="436" t="s">
        <v>170</v>
      </c>
      <c r="C63" s="157" t="s">
        <v>171</v>
      </c>
      <c r="D63" s="152" t="s">
        <v>183</v>
      </c>
      <c r="E63" s="437">
        <f>D64/12</f>
        <v>583.33333333333337</v>
      </c>
      <c r="F63" s="104"/>
      <c r="G63" s="104"/>
    </row>
    <row r="64" spans="1:7" x14ac:dyDescent="0.25">
      <c r="A64" s="435"/>
      <c r="B64" s="436"/>
      <c r="C64" s="160">
        <v>100000</v>
      </c>
      <c r="D64" s="161">
        <f>C64*7%</f>
        <v>7000.0000000000009</v>
      </c>
      <c r="E64" s="438"/>
      <c r="F64" s="104"/>
      <c r="G64" s="104"/>
    </row>
    <row r="65" spans="1:7" x14ac:dyDescent="0.25">
      <c r="A65" s="386" t="s">
        <v>6</v>
      </c>
      <c r="B65" s="439" t="s">
        <v>172</v>
      </c>
      <c r="C65" s="162" t="s">
        <v>147</v>
      </c>
      <c r="D65" s="163" t="s">
        <v>68</v>
      </c>
      <c r="E65" s="437">
        <f>C66*D66</f>
        <v>487.916</v>
      </c>
      <c r="F65" s="104"/>
      <c r="G65" s="104"/>
    </row>
    <row r="66" spans="1:7" x14ac:dyDescent="0.25">
      <c r="A66" s="387"/>
      <c r="B66" s="440"/>
      <c r="C66" s="164">
        <f>E60</f>
        <v>975.83199999999999</v>
      </c>
      <c r="D66" s="165">
        <v>0.5</v>
      </c>
      <c r="E66" s="438"/>
      <c r="F66" s="105"/>
      <c r="G66" s="104"/>
    </row>
    <row r="67" spans="1:7" x14ac:dyDescent="0.25">
      <c r="A67" s="373" t="s">
        <v>55</v>
      </c>
      <c r="B67" s="373"/>
      <c r="C67" s="373"/>
      <c r="D67" s="373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433" t="s">
        <v>54</v>
      </c>
      <c r="C68" s="433"/>
      <c r="D68" s="433"/>
      <c r="E68" s="434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82" t="s">
        <v>56</v>
      </c>
      <c r="B70" s="382"/>
      <c r="C70" s="382" t="s">
        <v>57</v>
      </c>
      <c r="D70" s="382"/>
      <c r="E70" s="382"/>
      <c r="F70" s="104"/>
      <c r="G70" s="104"/>
    </row>
    <row r="71" spans="1:7" x14ac:dyDescent="0.25">
      <c r="A71" s="407" t="s">
        <v>58</v>
      </c>
      <c r="B71" s="408"/>
      <c r="C71" s="407" t="s">
        <v>59</v>
      </c>
      <c r="D71" s="409"/>
      <c r="E71" s="408"/>
      <c r="F71" s="104"/>
      <c r="G71" s="104"/>
    </row>
    <row r="72" spans="1:7" x14ac:dyDescent="0.25">
      <c r="A72" s="132" t="s">
        <v>60</v>
      </c>
      <c r="B72" s="373" t="s">
        <v>59</v>
      </c>
      <c r="C72" s="373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72" t="s">
        <v>61</v>
      </c>
      <c r="C73" s="372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72" t="s">
        <v>62</v>
      </c>
      <c r="C74" s="372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72" t="s">
        <v>63</v>
      </c>
      <c r="C75" s="372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32" t="s">
        <v>64</v>
      </c>
      <c r="C76" s="432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72" t="s">
        <v>65</v>
      </c>
      <c r="C77" s="372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391" t="s">
        <v>66</v>
      </c>
      <c r="C78" s="391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31" t="s">
        <v>143</v>
      </c>
      <c r="C79" s="431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391" t="s">
        <v>67</v>
      </c>
      <c r="C80" s="391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73" t="s">
        <v>77</v>
      </c>
      <c r="B81" s="373"/>
      <c r="C81" s="373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92" t="s">
        <v>69</v>
      </c>
      <c r="C82" s="392"/>
      <c r="D82" s="392"/>
      <c r="E82" s="393"/>
      <c r="F82" s="104"/>
      <c r="G82" s="104"/>
    </row>
    <row r="83" spans="1:7" x14ac:dyDescent="0.25">
      <c r="A83" s="174" t="s">
        <v>26</v>
      </c>
      <c r="B83" s="379" t="s">
        <v>70</v>
      </c>
      <c r="C83" s="379"/>
      <c r="D83" s="379"/>
      <c r="E83" s="380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07" t="s">
        <v>71</v>
      </c>
      <c r="B85" s="408"/>
      <c r="C85" s="407" t="s">
        <v>72</v>
      </c>
      <c r="D85" s="409"/>
      <c r="E85" s="408"/>
      <c r="F85" s="104"/>
      <c r="G85" s="104"/>
    </row>
    <row r="86" spans="1:7" x14ac:dyDescent="0.25">
      <c r="A86" s="132" t="s">
        <v>78</v>
      </c>
      <c r="B86" s="373" t="s">
        <v>72</v>
      </c>
      <c r="C86" s="373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72" t="s">
        <v>73</v>
      </c>
      <c r="C87" s="372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72" t="s">
        <v>74</v>
      </c>
      <c r="C88" s="372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7" t="s">
        <v>75</v>
      </c>
      <c r="B89" s="378"/>
      <c r="C89" s="430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86" t="s">
        <v>5</v>
      </c>
      <c r="B90" s="422" t="s">
        <v>76</v>
      </c>
      <c r="C90" s="423"/>
      <c r="D90" s="426">
        <f>ROUND((E90*D89)/E89,4)</f>
        <v>3.44E-2</v>
      </c>
      <c r="E90" s="428">
        <f>ROUND(E89*D81,2)</f>
        <v>64.38</v>
      </c>
      <c r="F90" s="104"/>
      <c r="G90" s="104"/>
    </row>
    <row r="91" spans="1:7" x14ac:dyDescent="0.25">
      <c r="A91" s="387"/>
      <c r="B91" s="424"/>
      <c r="C91" s="425"/>
      <c r="D91" s="427"/>
      <c r="E91" s="429"/>
      <c r="F91" s="104"/>
      <c r="G91" s="104"/>
    </row>
    <row r="92" spans="1:7" x14ac:dyDescent="0.25">
      <c r="A92" s="373" t="s">
        <v>77</v>
      </c>
      <c r="B92" s="373"/>
      <c r="C92" s="373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07" t="s">
        <v>79</v>
      </c>
      <c r="B94" s="408"/>
      <c r="C94" s="407" t="s">
        <v>81</v>
      </c>
      <c r="D94" s="409"/>
      <c r="E94" s="408"/>
      <c r="F94" s="419" t="s">
        <v>81</v>
      </c>
      <c r="G94" s="419"/>
    </row>
    <row r="95" spans="1:7" x14ac:dyDescent="0.25">
      <c r="A95" s="132" t="s">
        <v>80</v>
      </c>
      <c r="B95" s="373" t="s">
        <v>81</v>
      </c>
      <c r="C95" s="373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72" t="s">
        <v>81</v>
      </c>
      <c r="C96" s="372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86" t="s">
        <v>4</v>
      </c>
      <c r="B97" s="422" t="s">
        <v>82</v>
      </c>
      <c r="C97" s="423"/>
      <c r="D97" s="426">
        <f>IF(G95="S",(ROUND((E97*D96)/E96,4)),0)</f>
        <v>0</v>
      </c>
      <c r="E97" s="428">
        <f>ROUND(D81*E96,2)</f>
        <v>0</v>
      </c>
      <c r="F97" s="104"/>
      <c r="G97" s="104"/>
    </row>
    <row r="98" spans="1:7" x14ac:dyDescent="0.25">
      <c r="A98" s="387"/>
      <c r="B98" s="424"/>
      <c r="C98" s="425"/>
      <c r="D98" s="427"/>
      <c r="E98" s="429"/>
      <c r="F98" s="104"/>
      <c r="G98" s="104"/>
    </row>
    <row r="99" spans="1:7" x14ac:dyDescent="0.25">
      <c r="A99" s="373" t="s">
        <v>77</v>
      </c>
      <c r="B99" s="373"/>
      <c r="C99" s="373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07" t="s">
        <v>83</v>
      </c>
      <c r="B101" s="408"/>
      <c r="C101" s="407" t="s">
        <v>85</v>
      </c>
      <c r="D101" s="409"/>
      <c r="E101" s="408"/>
      <c r="F101" s="104"/>
      <c r="G101" s="104"/>
    </row>
    <row r="102" spans="1:7" x14ac:dyDescent="0.25">
      <c r="A102" s="132" t="s">
        <v>84</v>
      </c>
      <c r="B102" s="373" t="s">
        <v>85</v>
      </c>
      <c r="C102" s="373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72" t="s">
        <v>91</v>
      </c>
      <c r="C103" s="372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17" t="s">
        <v>144</v>
      </c>
      <c r="C104" s="418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72" t="s">
        <v>92</v>
      </c>
      <c r="C105" s="372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72" t="s">
        <v>93</v>
      </c>
      <c r="C106" s="372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17" t="s">
        <v>94</v>
      </c>
      <c r="C107" s="418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20" t="s">
        <v>146</v>
      </c>
      <c r="C108" s="421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73" t="s">
        <v>77</v>
      </c>
      <c r="B109" s="373"/>
      <c r="C109" s="373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07" t="s">
        <v>95</v>
      </c>
      <c r="B111" s="408"/>
      <c r="C111" s="407" t="s">
        <v>97</v>
      </c>
      <c r="D111" s="409"/>
      <c r="E111" s="408"/>
      <c r="F111" s="419" t="s">
        <v>88</v>
      </c>
      <c r="G111" s="419"/>
    </row>
    <row r="112" spans="1:7" x14ac:dyDescent="0.25">
      <c r="A112" s="185" t="s">
        <v>96</v>
      </c>
      <c r="B112" s="410" t="s">
        <v>98</v>
      </c>
      <c r="C112" s="411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72" t="s">
        <v>86</v>
      </c>
      <c r="C113" s="372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12" t="s">
        <v>87</v>
      </c>
      <c r="C114" s="413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72" t="s">
        <v>88</v>
      </c>
      <c r="C115" s="372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72" t="s">
        <v>89</v>
      </c>
      <c r="C116" s="372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74" t="s">
        <v>90</v>
      </c>
      <c r="C117" s="376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86" t="s">
        <v>32</v>
      </c>
      <c r="B118" s="403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387"/>
      <c r="B119" s="403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14" t="s">
        <v>75</v>
      </c>
      <c r="B120" s="415"/>
      <c r="C120" s="416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17" t="s">
        <v>99</v>
      </c>
      <c r="C121" s="418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73" t="s">
        <v>77</v>
      </c>
      <c r="B122" s="373"/>
      <c r="C122" s="373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07" t="s">
        <v>100</v>
      </c>
      <c r="B124" s="408"/>
      <c r="C124" s="407" t="s">
        <v>101</v>
      </c>
      <c r="D124" s="409"/>
      <c r="E124" s="408"/>
      <c r="F124" s="104"/>
      <c r="G124" s="104"/>
    </row>
    <row r="125" spans="1:7" x14ac:dyDescent="0.25">
      <c r="A125" s="185">
        <v>4</v>
      </c>
      <c r="B125" s="410" t="s">
        <v>102</v>
      </c>
      <c r="C125" s="411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72" t="s">
        <v>59</v>
      </c>
      <c r="C126" s="372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12" t="s">
        <v>72</v>
      </c>
      <c r="C127" s="413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72" t="s">
        <v>81</v>
      </c>
      <c r="C128" s="372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72" t="s">
        <v>85</v>
      </c>
      <c r="C129" s="372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74" t="s">
        <v>104</v>
      </c>
      <c r="C130" s="376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86" t="s">
        <v>103</v>
      </c>
      <c r="B131" s="403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387"/>
      <c r="B132" s="403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73" t="s">
        <v>77</v>
      </c>
      <c r="B133" s="373"/>
      <c r="C133" s="373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82" t="s">
        <v>105</v>
      </c>
      <c r="B135" s="382"/>
      <c r="C135" s="382" t="s">
        <v>106</v>
      </c>
      <c r="D135" s="382"/>
      <c r="E135" s="382"/>
      <c r="F135" s="104"/>
      <c r="G135" s="104"/>
    </row>
    <row r="136" spans="1:7" x14ac:dyDescent="0.25">
      <c r="A136" s="132">
        <v>5</v>
      </c>
      <c r="B136" s="373" t="s">
        <v>107</v>
      </c>
      <c r="C136" s="373"/>
      <c r="D136" s="132" t="s">
        <v>68</v>
      </c>
      <c r="E136" s="132" t="s">
        <v>41</v>
      </c>
      <c r="F136" s="104"/>
      <c r="G136" s="104"/>
    </row>
    <row r="137" spans="1:7" x14ac:dyDescent="0.25">
      <c r="A137" s="386" t="s">
        <v>3</v>
      </c>
      <c r="B137" s="388" t="s">
        <v>151</v>
      </c>
      <c r="C137" s="389"/>
      <c r="D137" s="390"/>
      <c r="E137" s="198">
        <f>E39+E54+E67+E133</f>
        <v>5399.2146666666667</v>
      </c>
      <c r="F137" s="104"/>
      <c r="G137" s="104"/>
    </row>
    <row r="138" spans="1:7" x14ac:dyDescent="0.25">
      <c r="A138" s="387"/>
      <c r="B138" s="372" t="s">
        <v>108</v>
      </c>
      <c r="C138" s="372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394" t="s">
        <v>4</v>
      </c>
      <c r="B139" s="397" t="s">
        <v>109</v>
      </c>
      <c r="C139" s="398"/>
      <c r="D139" s="398"/>
      <c r="E139" s="399"/>
      <c r="F139" s="104"/>
      <c r="G139" s="104"/>
    </row>
    <row r="140" spans="1:7" x14ac:dyDescent="0.25">
      <c r="A140" s="395"/>
      <c r="B140" s="400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395"/>
      <c r="B141" s="401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395"/>
      <c r="B142" s="401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395"/>
      <c r="B143" s="402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395"/>
      <c r="B144" s="403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395"/>
      <c r="B145" s="403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395"/>
      <c r="B146" s="404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395"/>
      <c r="B147" s="404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395"/>
      <c r="B148" s="405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395"/>
      <c r="B149" s="406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396"/>
      <c r="B150" s="384" t="s">
        <v>145</v>
      </c>
      <c r="C150" s="385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86" t="s">
        <v>5</v>
      </c>
      <c r="B151" s="388" t="s">
        <v>152</v>
      </c>
      <c r="C151" s="389"/>
      <c r="D151" s="390"/>
      <c r="E151" s="198">
        <f>E39+E54+E67+E133+E138</f>
        <v>5717.7683319999996</v>
      </c>
      <c r="F151" s="104"/>
      <c r="G151" s="104"/>
    </row>
    <row r="152" spans="1:7" x14ac:dyDescent="0.25">
      <c r="A152" s="387"/>
      <c r="B152" s="391" t="s">
        <v>118</v>
      </c>
      <c r="C152" s="391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73" t="s">
        <v>77</v>
      </c>
      <c r="B153" s="373"/>
      <c r="C153" s="373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92" t="s">
        <v>119</v>
      </c>
      <c r="C154" s="392"/>
      <c r="D154" s="392"/>
      <c r="E154" s="393"/>
      <c r="F154" s="104"/>
      <c r="G154" s="104"/>
    </row>
    <row r="155" spans="1:7" x14ac:dyDescent="0.25">
      <c r="A155" s="174" t="s">
        <v>26</v>
      </c>
      <c r="B155" s="379" t="s">
        <v>120</v>
      </c>
      <c r="C155" s="379"/>
      <c r="D155" s="379"/>
      <c r="E155" s="380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81" t="s">
        <v>178</v>
      </c>
      <c r="B157" s="381"/>
      <c r="C157" s="381"/>
      <c r="D157" s="381"/>
      <c r="E157" s="381"/>
      <c r="F157" s="104"/>
      <c r="G157" s="104"/>
    </row>
    <row r="158" spans="1:7" x14ac:dyDescent="0.25">
      <c r="A158" s="382" t="s">
        <v>121</v>
      </c>
      <c r="B158" s="382"/>
      <c r="C158" s="382"/>
      <c r="D158" s="382"/>
      <c r="E158" s="382"/>
      <c r="F158" s="104"/>
      <c r="G158" s="104"/>
    </row>
    <row r="159" spans="1:7" x14ac:dyDescent="0.25">
      <c r="A159" s="383" t="s">
        <v>122</v>
      </c>
      <c r="B159" s="383"/>
      <c r="C159" s="383"/>
      <c r="D159" s="383"/>
      <c r="E159" s="123" t="s">
        <v>129</v>
      </c>
      <c r="F159" s="104"/>
      <c r="G159" s="104"/>
    </row>
    <row r="160" spans="1:7" x14ac:dyDescent="0.25">
      <c r="A160" s="119" t="s">
        <v>3</v>
      </c>
      <c r="B160" s="372" t="s">
        <v>125</v>
      </c>
      <c r="C160" s="372"/>
      <c r="D160" s="372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72" t="s">
        <v>126</v>
      </c>
      <c r="C161" s="372"/>
      <c r="D161" s="372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72" t="s">
        <v>127</v>
      </c>
      <c r="C162" s="372"/>
      <c r="D162" s="372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72" t="s">
        <v>102</v>
      </c>
      <c r="C163" s="372"/>
      <c r="D163" s="372"/>
      <c r="E163" s="206">
        <f>E133</f>
        <v>1256.58</v>
      </c>
      <c r="F163" s="104"/>
      <c r="G163" s="104"/>
    </row>
    <row r="164" spans="1:7" x14ac:dyDescent="0.25">
      <c r="A164" s="373" t="s">
        <v>123</v>
      </c>
      <c r="B164" s="373"/>
      <c r="C164" s="373"/>
      <c r="D164" s="373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74" t="s">
        <v>128</v>
      </c>
      <c r="C165" s="375"/>
      <c r="D165" s="376"/>
      <c r="E165" s="206">
        <f>E153</f>
        <v>2263.7741649333329</v>
      </c>
      <c r="F165" s="104"/>
      <c r="G165" s="104"/>
    </row>
    <row r="166" spans="1:7" x14ac:dyDescent="0.25">
      <c r="A166" s="377" t="s">
        <v>124</v>
      </c>
      <c r="B166" s="378"/>
      <c r="C166" s="378"/>
      <c r="D166" s="378"/>
      <c r="E166" s="207">
        <f>E164+E165</f>
        <v>7662.9888315999997</v>
      </c>
      <c r="F166" s="110"/>
      <c r="G166" s="104"/>
    </row>
    <row r="167" spans="1:7" x14ac:dyDescent="0.25">
      <c r="A167" s="377" t="s">
        <v>175</v>
      </c>
      <c r="B167" s="378"/>
      <c r="C167" s="378"/>
      <c r="D167" s="378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364" t="s">
        <v>159</v>
      </c>
      <c r="C169" s="364"/>
      <c r="D169" s="364"/>
      <c r="E169" s="364"/>
      <c r="F169" s="104"/>
      <c r="G169" s="104"/>
    </row>
    <row r="170" spans="1:7" x14ac:dyDescent="0.25">
      <c r="A170" s="127"/>
      <c r="B170" s="365" t="s">
        <v>155</v>
      </c>
      <c r="C170" s="365"/>
      <c r="D170" s="366" t="s">
        <v>160</v>
      </c>
      <c r="E170" s="366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367">
        <v>120000</v>
      </c>
      <c r="E171" s="367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368" t="s">
        <v>176</v>
      </c>
      <c r="E172" s="369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370"/>
      <c r="E173" s="371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Setor Compras</cp:lastModifiedBy>
  <cp:lastPrinted>2025-05-12T18:43:13Z</cp:lastPrinted>
  <dcterms:created xsi:type="dcterms:W3CDTF">2011-03-21T16:34:02Z</dcterms:created>
  <dcterms:modified xsi:type="dcterms:W3CDTF">2026-06-11T19:03:41Z</dcterms:modified>
</cp:coreProperties>
</file>