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8" l="1"/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91" i="8" l="1"/>
  <c r="E122" i="10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<sst xmlns="http://schemas.openxmlformats.org/spreadsheetml/2006/main" count="581" uniqueCount="211">
  <si>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</si>
  <si>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</si>
  <si>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</si>
  <si>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</si>
  <si>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</si>
  <si>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</si>
  <si>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</si>
  <si>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</si>
  <si>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</si>
  <si>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</si>
  <si>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</si>
  <si>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</si>
  <si>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</si>
  <si>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</si>
  <si>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</si>
  <si>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</si>
  <si>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</si>
  <si>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</si>
  <si>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</si>
  <si>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</si>
  <si>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</si>
  <si>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</si>
  <si>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</si>
  <si>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</si>
  <si>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</si>
  <si>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</si>
  <si>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</si>
  <si>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</si>
  <si>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</si>
  <si>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</si>
  <si>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</si>
  <si>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</si>
  <si>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</si>
  <si>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</si>
  <si>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</si>
  <si>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</si>
  <si>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</si>
  <si>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</si>
  <si>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</si>
  <si>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</si>
  <si>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</si>
  <si>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</si>
  <si>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</si>
  <si>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</si>
  <si>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</si>
  <si>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</si>
  <si>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</si>
  <si>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</si>
  <si>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</si>
  <si>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</si>
  <si>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</si>
  <si>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</si>
  <si>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</si>
  <si>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</si>
  <si>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</si>
  <si>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</si>
  <si>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</si>
  <si>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</si>
  <si>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</si>
  <si>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</si>
  <si>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</si>
  <si>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</si>
  <si>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</si>
  <si>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</si>
  <si>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</si>
  <si>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</si>
  <si>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</si>
  <si>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</si>
  <si>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</si>
  <si>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</si>
  <si>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</si>
  <si>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</si>
  <si>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</si>
  <si>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</si>
  <si>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</si>
  <si>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</si>
  <si>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</si>
  <si>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</si>
  <si>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</si>
  <si>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</si>
  <si>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</si>
  <si>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</si>
  <si>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</si>
  <si>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</si>
  <si>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</si>
  <si>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</si>
  <si>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</si>
  <si>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</si>
  <si>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</si>
  <si>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</si>
  <si>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</si>
  <si>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</si>
  <si>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</si>
  <si>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</si>
  <si>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</si>
  <si>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</si>
  <si>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</si>
  <si>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</si>
  <si>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</si>
  <si>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</si>
  <si>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</si>
  <si>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</si>
  <si>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</si>
  <si>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</si>
  <si>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</si>
  <si>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</si>
  <si>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</si>
  <si>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</si>
  <si>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</si>
  <si>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</si>
  <si>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</si>
  <si>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</si>
  <si>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</si>
  <si>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</si>
  <si>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</si>
  <si>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</si>
  <si>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</si>
  <si>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</si>
  <si>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</si>
  <si>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</si>
  <si>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</si>
  <si>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</si>
  <si>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</si>
  <si>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</si>
  <si>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</si>
  <si>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</si>
  <si>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</si>
  <si>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</si>
  <si>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</si>
  <si>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</si>
  <si>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</si>
  <si>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</si>
  <si>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</si>
  <si>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</si>
  <si>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</si>
  <si>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</si>
  <si>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</si>
  <si>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</si>
  <si>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</si>
  <si>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</si>
  <si>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</si>
  <si>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</si>
  <si>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</si>
  <si>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</si>
  <si>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</si>
  <si>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</si>
  <si>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</si>
  <si>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</si>
  <si>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</si>
  <si>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</si>
  <si>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</si>
  <si>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</si>
  <si>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</si>
  <si>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</si>
  <si>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</si>
  <si>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</si>
  <si>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</si>
  <si>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</si>
  <si>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</si>
  <si>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</si>
  <si>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</si>
  <si>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</si>
  <si>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</si>
  <si>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</si>
  <si>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</si>
  <si>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</si>
  <si>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</si>
  <si>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</si>
  <si>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</si>
  <si>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</si>
  <si>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</si>
  <si>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</si>
  <si>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</si>
  <si>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</si>
  <si>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</si>
  <si>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</si>
  <si>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</si>
  <si>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</si>
  <si>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</si>
  <si>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</si>
  <si>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</si>
  <si>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</si>
  <si>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</si>
  <si>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</si>
  <si>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</si>
  <si>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</si>
  <si>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</si>
  <si>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</si>
  <si>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</si>
  <si>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</si>
  <si>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</si>
  <si>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</si>
  <si>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</si>
  <si>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</si>
  <si>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</si>
  <si>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</si>
  <si>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</si>
  <si>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</si>
  <si>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</si>
  <si>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</si>
  <si>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</si>
  <si>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</si>
  <si>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</si>
  <si>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</si>
  <si>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</si>
  <si>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</si>
  <si>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</si>
  <si>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</si>
  <si>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</si>
  <si>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Planilha de Custos e Formação de Preços - Trajeto 03 - Rincão</t>
  </si>
  <si>
    <t>Transporte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</si>
</sst>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165" fontId="16" fillId="6" borderId="1" xfId="1" applyFont="1" applyFill="1" applyBorder="1" applyAlignment="1" applyProtection="1">
      <alignment horizontal="center"/>
    </xf>
    <xf numFmtId="43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3" fillId="0" borderId="0" xfId="0" applyFont="1" applyAlignment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4" borderId="1" xfId="0" applyFont="1" applyFill="1" applyBorder="1" applyAlignment="1" applyProtection="1">
      <alignment horizont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3" fillId="0" borderId="5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14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165" fontId="14" fillId="3" borderId="14" xfId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0" fillId="5" borderId="1" xfId="0" applyFill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left"/>
    </xf>
    <xf numFmtId="0" fontId="0" fillId="0" borderId="1" xfId="0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5" fillId="0" borderId="0" xfId="0" applyFont="1" applyAlignment="1" applyProtection="1">
      <alignment horizontal="center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7" fillId="3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left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0" fontId="27" fillId="0" borderId="0" xfId="0" applyFont="1" applyAlignment="1" applyProtection="1">
      <alignment horizontal="center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27" fillId="2" borderId="9" xfId="0" applyFont="1" applyFill="1" applyBorder="1" applyAlignment="1" applyProtection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4" borderId="1" xfId="0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/>
    </xf>
    <xf numFmtId="0" fontId="27" fillId="0" borderId="5" xfId="0" applyFont="1" applyBorder="1" applyAlignment="1" applyProtection="1">
      <alignment horizontal="center" vertical="center"/>
    </xf>
    <xf numFmtId="0" fontId="27" fillId="0" borderId="14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27" fillId="0" borderId="1" xfId="0" applyFont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1" fillId="7" borderId="1" xfId="0" applyFont="1" applyFill="1" applyBorder="1" applyAlignment="1" applyProtection="1">
      <alignment horizontal="left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left" vertical="center"/>
    </xf>
    <xf numFmtId="0" fontId="31" fillId="5" borderId="1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 applyProtection="1">
      <alignment horizont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48" workbookViewId="0">
      <selection activeCell="D152" sqref="D152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224" t="s">
        <v>187</v>
      </c>
      <c r="B1" s="224"/>
      <c r="C1" s="224"/>
      <c r="D1" s="224"/>
      <c r="E1" s="224"/>
    </row>
    <row r="2" spans="1:5" ht="30.75" customHeight="1" x14ac:dyDescent="0.35">
      <c r="A2" s="233"/>
      <c r="B2" s="233"/>
      <c r="C2" s="233"/>
      <c r="D2" s="233"/>
      <c r="E2" s="233"/>
    </row>
    <row r="3" spans="1:5" ht="18.75" x14ac:dyDescent="0.3">
      <c r="A3" s="234" t="s">
        <v>209</v>
      </c>
      <c r="B3" s="235"/>
      <c r="C3" s="235"/>
      <c r="D3" s="235"/>
      <c r="E3" s="236"/>
    </row>
    <row r="4" spans="1:5" x14ac:dyDescent="0.25">
      <c r="A4" s="31" t="s">
        <v>135</v>
      </c>
      <c r="B4" s="237"/>
      <c r="C4" s="238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239" t="s">
        <v>137</v>
      </c>
      <c r="B6" s="239"/>
      <c r="C6" s="239"/>
      <c r="D6" s="239"/>
      <c r="E6" s="239"/>
    </row>
    <row r="7" spans="1:5" x14ac:dyDescent="0.25">
      <c r="A7" s="240" t="s">
        <v>138</v>
      </c>
      <c r="B7" s="240"/>
      <c r="C7" s="241"/>
      <c r="D7" s="241"/>
      <c r="E7" s="241"/>
    </row>
    <row r="8" spans="1:5" ht="14.45" x14ac:dyDescent="0.3">
      <c r="A8" s="240" t="s">
        <v>139</v>
      </c>
      <c r="B8" s="240"/>
      <c r="C8" s="242"/>
      <c r="D8" s="243"/>
      <c r="E8" s="244"/>
    </row>
    <row r="9" spans="1:5" x14ac:dyDescent="0.25">
      <c r="A9" s="245" t="s">
        <v>140</v>
      </c>
      <c r="B9" s="246"/>
      <c r="C9" s="247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239" t="s">
        <v>174</v>
      </c>
      <c r="B10" s="239"/>
      <c r="C10" s="239"/>
      <c r="D10" s="239"/>
      <c r="E10" s="239"/>
    </row>
    <row r="11" spans="1:5" x14ac:dyDescent="0.25">
      <c r="A11" s="27" t="s">
        <v>3</v>
      </c>
      <c r="B11" s="232" t="s">
        <v>7</v>
      </c>
      <c r="C11" s="232"/>
      <c r="D11" s="232"/>
      <c r="E11" s="53"/>
    </row>
    <row r="12" spans="1:5" x14ac:dyDescent="0.25">
      <c r="A12" s="27" t="s">
        <v>4</v>
      </c>
      <c r="B12" s="248" t="s">
        <v>8</v>
      </c>
      <c r="C12" s="249"/>
      <c r="D12" s="250" t="s">
        <v>180</v>
      </c>
      <c r="E12" s="251"/>
    </row>
    <row r="13" spans="1:5" x14ac:dyDescent="0.25">
      <c r="A13" s="27" t="s">
        <v>5</v>
      </c>
      <c r="B13" s="232" t="s">
        <v>9</v>
      </c>
      <c r="C13" s="232"/>
      <c r="D13" s="232"/>
      <c r="E13" s="99" t="s">
        <v>188</v>
      </c>
    </row>
    <row r="14" spans="1:5" x14ac:dyDescent="0.25">
      <c r="A14" s="27" t="s">
        <v>6</v>
      </c>
      <c r="B14" s="232" t="s">
        <v>10</v>
      </c>
      <c r="C14" s="232"/>
      <c r="D14" s="232"/>
      <c r="E14" s="54">
        <v>10</v>
      </c>
    </row>
    <row r="15" spans="1:5" x14ac:dyDescent="0.25">
      <c r="A15" s="239" t="s">
        <v>134</v>
      </c>
      <c r="B15" s="239"/>
      <c r="C15" s="239"/>
      <c r="D15" s="239"/>
      <c r="E15" s="239"/>
    </row>
    <row r="16" spans="1:5" x14ac:dyDescent="0.25">
      <c r="A16" s="252" t="s">
        <v>11</v>
      </c>
      <c r="B16" s="252"/>
      <c r="C16" s="69" t="s">
        <v>12</v>
      </c>
      <c r="D16" s="252" t="s">
        <v>13</v>
      </c>
      <c r="E16" s="252"/>
    </row>
    <row r="17" spans="1:5" x14ac:dyDescent="0.25">
      <c r="A17" s="252" t="s">
        <v>189</v>
      </c>
      <c r="B17" s="252"/>
      <c r="C17" s="70" t="s">
        <v>182</v>
      </c>
      <c r="D17" s="253">
        <v>1640</v>
      </c>
      <c r="E17" s="254"/>
    </row>
    <row r="18" spans="1:5" x14ac:dyDescent="0.25">
      <c r="A18" s="255" t="s">
        <v>153</v>
      </c>
      <c r="B18" s="256"/>
      <c r="C18" s="257"/>
      <c r="D18" s="258">
        <f>SUM(D17)</f>
        <v>1640</v>
      </c>
      <c r="E18" s="259"/>
    </row>
    <row r="19" spans="1:5" x14ac:dyDescent="0.25">
      <c r="A19" s="5" t="s">
        <v>25</v>
      </c>
      <c r="B19" s="260" t="s">
        <v>14</v>
      </c>
      <c r="C19" s="260"/>
      <c r="D19" s="260"/>
      <c r="E19" s="261"/>
    </row>
    <row r="20" spans="1:5" x14ac:dyDescent="0.25">
      <c r="A20" s="6"/>
      <c r="B20" s="262" t="s">
        <v>15</v>
      </c>
      <c r="C20" s="262"/>
      <c r="D20" s="262"/>
      <c r="E20" s="263"/>
    </row>
    <row r="21" spans="1:5" x14ac:dyDescent="0.25">
      <c r="A21" s="5" t="s">
        <v>26</v>
      </c>
      <c r="B21" s="260" t="s">
        <v>16</v>
      </c>
      <c r="C21" s="260"/>
      <c r="D21" s="260"/>
      <c r="E21" s="261"/>
    </row>
    <row r="22" spans="1:5" x14ac:dyDescent="0.25">
      <c r="A22" s="6"/>
      <c r="B22" s="264" t="s">
        <v>17</v>
      </c>
      <c r="C22" s="264"/>
      <c r="D22" s="264"/>
      <c r="E22" s="265"/>
    </row>
    <row r="24" spans="1:5" ht="23.25" x14ac:dyDescent="0.35">
      <c r="A24" s="233" t="s">
        <v>177</v>
      </c>
      <c r="B24" s="233"/>
      <c r="C24" s="233"/>
      <c r="D24" s="233"/>
      <c r="E24" s="233"/>
    </row>
    <row r="25" spans="1:5" x14ac:dyDescent="0.25">
      <c r="A25" s="266" t="s">
        <v>18</v>
      </c>
      <c r="B25" s="266"/>
      <c r="C25" s="266"/>
      <c r="D25" s="266"/>
      <c r="E25" s="266"/>
    </row>
    <row r="26" spans="1:5" x14ac:dyDescent="0.25">
      <c r="A26" s="231" t="s">
        <v>19</v>
      </c>
      <c r="B26" s="231"/>
      <c r="C26" s="231"/>
      <c r="D26" s="231"/>
      <c r="E26" s="231"/>
    </row>
    <row r="27" spans="1:5" x14ac:dyDescent="0.25">
      <c r="A27" s="232" t="s">
        <v>20</v>
      </c>
      <c r="B27" s="232"/>
      <c r="C27" s="232"/>
      <c r="D27" s="232"/>
      <c r="E27" s="232"/>
    </row>
    <row r="28" spans="1:5" x14ac:dyDescent="0.25">
      <c r="A28" s="27">
        <v>1</v>
      </c>
      <c r="B28" s="232" t="s">
        <v>21</v>
      </c>
      <c r="C28" s="232"/>
      <c r="D28" s="232"/>
      <c r="E28" s="94" t="s">
        <v>210</v>
      </c>
    </row>
    <row r="29" spans="1:5" x14ac:dyDescent="0.25">
      <c r="A29" s="27">
        <v>2</v>
      </c>
      <c r="B29" s="232" t="s">
        <v>22</v>
      </c>
      <c r="C29" s="232"/>
      <c r="D29" s="232"/>
      <c r="E29" s="95">
        <v>2004.59</v>
      </c>
    </row>
    <row r="30" spans="1:5" x14ac:dyDescent="0.25">
      <c r="A30" s="27">
        <v>3</v>
      </c>
      <c r="B30" s="232" t="s">
        <v>23</v>
      </c>
      <c r="C30" s="232"/>
      <c r="D30" s="232"/>
      <c r="E30" s="94" t="s">
        <v>164</v>
      </c>
    </row>
    <row r="31" spans="1:5" x14ac:dyDescent="0.25">
      <c r="A31" s="27">
        <v>4</v>
      </c>
      <c r="B31" s="232" t="s">
        <v>24</v>
      </c>
      <c r="C31" s="232"/>
      <c r="D31" s="232"/>
      <c r="E31" s="96">
        <v>44348</v>
      </c>
    </row>
    <row r="32" spans="1:5" x14ac:dyDescent="0.25">
      <c r="A32" s="34" t="s">
        <v>27</v>
      </c>
      <c r="B32" s="267" t="s">
        <v>28</v>
      </c>
      <c r="C32" s="267"/>
      <c r="D32" s="267"/>
      <c r="E32" s="268"/>
    </row>
    <row r="33" spans="1:5" x14ac:dyDescent="0.25">
      <c r="A33" s="266" t="s">
        <v>29</v>
      </c>
      <c r="B33" s="266"/>
      <c r="C33" s="266" t="s">
        <v>30</v>
      </c>
      <c r="D33" s="266"/>
      <c r="E33" s="266"/>
    </row>
    <row r="34" spans="1:5" x14ac:dyDescent="0.25">
      <c r="A34" s="28">
        <v>1</v>
      </c>
      <c r="B34" s="231" t="s">
        <v>35</v>
      </c>
      <c r="C34" s="231"/>
      <c r="D34" s="231"/>
      <c r="E34" s="28" t="s">
        <v>41</v>
      </c>
    </row>
    <row r="35" spans="1:5" x14ac:dyDescent="0.25">
      <c r="A35" s="36" t="s">
        <v>3</v>
      </c>
      <c r="B35" s="269" t="s">
        <v>36</v>
      </c>
      <c r="C35" s="269"/>
      <c r="D35" s="269"/>
      <c r="E35" s="81">
        <f>E29</f>
        <v>2004.59</v>
      </c>
    </row>
    <row r="36" spans="1:5" x14ac:dyDescent="0.25">
      <c r="A36" s="36" t="s">
        <v>4</v>
      </c>
      <c r="B36" s="269" t="s">
        <v>38</v>
      </c>
      <c r="C36" s="269"/>
      <c r="D36" s="269"/>
      <c r="E36" s="71">
        <v>0</v>
      </c>
    </row>
    <row r="37" spans="1:5" x14ac:dyDescent="0.25">
      <c r="A37" s="270" t="s">
        <v>5</v>
      </c>
      <c r="B37" s="272" t="s">
        <v>37</v>
      </c>
      <c r="C37" s="49" t="s">
        <v>147</v>
      </c>
      <c r="D37" s="75">
        <f>E35</f>
        <v>2004.59</v>
      </c>
      <c r="E37" s="274">
        <f>D37*D38</f>
        <v>0</v>
      </c>
    </row>
    <row r="38" spans="1:5" x14ac:dyDescent="0.25">
      <c r="A38" s="271"/>
      <c r="B38" s="273"/>
      <c r="C38" s="52" t="s">
        <v>148</v>
      </c>
      <c r="D38" s="41">
        <v>0</v>
      </c>
      <c r="E38" s="275"/>
    </row>
    <row r="39" spans="1:5" x14ac:dyDescent="0.25">
      <c r="A39" s="231" t="s">
        <v>40</v>
      </c>
      <c r="B39" s="231"/>
      <c r="C39" s="231"/>
      <c r="D39" s="231"/>
      <c r="E39" s="3">
        <f>SUM(E35:E38)</f>
        <v>2004.59</v>
      </c>
    </row>
    <row r="40" spans="1:5" x14ac:dyDescent="0.25">
      <c r="A40" s="266" t="s">
        <v>42</v>
      </c>
      <c r="B40" s="266"/>
      <c r="C40" s="266" t="s">
        <v>43</v>
      </c>
      <c r="D40" s="266"/>
      <c r="E40" s="266"/>
    </row>
    <row r="41" spans="1:5" x14ac:dyDescent="0.25">
      <c r="A41" s="28">
        <v>2</v>
      </c>
      <c r="B41" s="231" t="s">
        <v>44</v>
      </c>
      <c r="C41" s="231"/>
      <c r="D41" s="231"/>
      <c r="E41" s="28"/>
    </row>
    <row r="42" spans="1:5" x14ac:dyDescent="0.25">
      <c r="A42" s="276" t="s">
        <v>3</v>
      </c>
      <c r="B42" s="279" t="s">
        <v>45</v>
      </c>
      <c r="C42" s="7" t="s">
        <v>131</v>
      </c>
      <c r="D42" s="62">
        <f>E35</f>
        <v>2004.59</v>
      </c>
      <c r="E42" s="282">
        <f>IF(D43&gt;0,(D43*D44-(D42*6%)),0)</f>
        <v>0</v>
      </c>
    </row>
    <row r="43" spans="1:5" x14ac:dyDescent="0.25">
      <c r="A43" s="277"/>
      <c r="B43" s="280"/>
      <c r="C43" s="7" t="s">
        <v>132</v>
      </c>
      <c r="D43" s="73">
        <v>0</v>
      </c>
      <c r="E43" s="282"/>
    </row>
    <row r="44" spans="1:5" x14ac:dyDescent="0.25">
      <c r="A44" s="278"/>
      <c r="B44" s="281"/>
      <c r="C44" s="7" t="s">
        <v>130</v>
      </c>
      <c r="D44" s="74">
        <v>0</v>
      </c>
      <c r="E44" s="282"/>
    </row>
    <row r="45" spans="1:5" x14ac:dyDescent="0.25">
      <c r="A45" s="276" t="s">
        <v>4</v>
      </c>
      <c r="B45" s="283" t="s">
        <v>191</v>
      </c>
      <c r="C45" s="7" t="s">
        <v>149</v>
      </c>
      <c r="D45" s="66">
        <v>24.08</v>
      </c>
      <c r="E45" s="286">
        <f>ROUND((D45*D46)-((D45*D46)*D47),1)</f>
        <v>481.6</v>
      </c>
    </row>
    <row r="46" spans="1:5" x14ac:dyDescent="0.25">
      <c r="A46" s="277"/>
      <c r="B46" s="284"/>
      <c r="C46" s="7" t="s">
        <v>150</v>
      </c>
      <c r="D46" s="55">
        <v>20</v>
      </c>
      <c r="E46" s="287"/>
    </row>
    <row r="47" spans="1:5" x14ac:dyDescent="0.25">
      <c r="A47" s="278"/>
      <c r="B47" s="285"/>
      <c r="C47" s="68" t="s">
        <v>133</v>
      </c>
      <c r="D47" s="42">
        <v>0</v>
      </c>
      <c r="E47" s="288"/>
    </row>
    <row r="48" spans="1:5" x14ac:dyDescent="0.25">
      <c r="A48" s="211" t="s">
        <v>190</v>
      </c>
      <c r="B48" s="216" t="s">
        <v>193</v>
      </c>
      <c r="C48" s="210" t="s">
        <v>192</v>
      </c>
      <c r="D48" s="217">
        <v>230.51</v>
      </c>
      <c r="E48" s="286">
        <f>D48-(D48*D49)</f>
        <v>184.40799999999999</v>
      </c>
    </row>
    <row r="49" spans="1:6" x14ac:dyDescent="0.25">
      <c r="A49" s="211"/>
      <c r="B49" s="214"/>
      <c r="C49" s="210" t="s">
        <v>133</v>
      </c>
      <c r="D49" s="42">
        <v>0.2</v>
      </c>
      <c r="E49" s="288"/>
    </row>
    <row r="50" spans="1:6" x14ac:dyDescent="0.25">
      <c r="A50" s="27" t="s">
        <v>6</v>
      </c>
      <c r="B50" s="294" t="s">
        <v>206</v>
      </c>
      <c r="C50" s="295"/>
      <c r="D50" s="223">
        <v>140</v>
      </c>
      <c r="E50" s="97">
        <f>D50/12</f>
        <v>11.666666666666666</v>
      </c>
    </row>
    <row r="51" spans="1:6" x14ac:dyDescent="0.25">
      <c r="A51" s="27" t="s">
        <v>31</v>
      </c>
      <c r="B51" s="293" t="s">
        <v>207</v>
      </c>
      <c r="C51" s="293"/>
      <c r="D51" s="222">
        <v>175</v>
      </c>
      <c r="E51" s="97">
        <f>D51/12</f>
        <v>14.583333333333334</v>
      </c>
    </row>
    <row r="52" spans="1:6" x14ac:dyDescent="0.25">
      <c r="A52" s="289" t="s">
        <v>32</v>
      </c>
      <c r="B52" s="290" t="s">
        <v>39</v>
      </c>
      <c r="C52" s="293"/>
      <c r="D52" s="293"/>
      <c r="E52" s="43"/>
    </row>
    <row r="53" spans="1:6" x14ac:dyDescent="0.25">
      <c r="A53" s="289"/>
      <c r="B53" s="291"/>
      <c r="C53" s="293"/>
      <c r="D53" s="293"/>
      <c r="E53" s="43"/>
    </row>
    <row r="54" spans="1:6" x14ac:dyDescent="0.25">
      <c r="A54" s="289"/>
      <c r="B54" s="292"/>
      <c r="C54" s="293"/>
      <c r="D54" s="293"/>
      <c r="E54" s="43"/>
    </row>
    <row r="55" spans="1:6" x14ac:dyDescent="0.25">
      <c r="A55" s="231" t="s">
        <v>48</v>
      </c>
      <c r="B55" s="231"/>
      <c r="C55" s="231"/>
      <c r="D55" s="231"/>
      <c r="E55" s="3">
        <f>E42+E45+E48+E50+E51+E52</f>
        <v>692.25800000000004</v>
      </c>
    </row>
    <row r="56" spans="1:6" x14ac:dyDescent="0.25">
      <c r="A56" s="8" t="s">
        <v>27</v>
      </c>
      <c r="B56" s="296" t="s">
        <v>49</v>
      </c>
      <c r="C56" s="296"/>
      <c r="D56" s="296"/>
      <c r="E56" s="297"/>
    </row>
    <row r="57" spans="1:6" x14ac:dyDescent="0.25">
      <c r="A57" s="6"/>
      <c r="B57" s="264" t="s">
        <v>50</v>
      </c>
      <c r="C57" s="264"/>
      <c r="D57" s="264"/>
      <c r="E57" s="265"/>
    </row>
    <row r="59" spans="1:6" x14ac:dyDescent="0.25">
      <c r="A59" s="266" t="s">
        <v>51</v>
      </c>
      <c r="B59" s="266"/>
      <c r="C59" s="266" t="s">
        <v>185</v>
      </c>
      <c r="D59" s="266"/>
      <c r="E59" s="266"/>
    </row>
    <row r="60" spans="1:6" x14ac:dyDescent="0.25">
      <c r="A60" s="28">
        <v>3</v>
      </c>
      <c r="B60" s="231" t="s">
        <v>53</v>
      </c>
      <c r="C60" s="231"/>
      <c r="D60" s="231"/>
      <c r="E60" s="28" t="s">
        <v>41</v>
      </c>
    </row>
    <row r="61" spans="1:6" x14ac:dyDescent="0.25">
      <c r="A61" s="276" t="s">
        <v>3</v>
      </c>
      <c r="B61" s="298" t="s">
        <v>165</v>
      </c>
      <c r="C61" s="84" t="s">
        <v>167</v>
      </c>
      <c r="D61" s="84" t="s">
        <v>166</v>
      </c>
      <c r="E61" s="300">
        <f>(D17/C62)*D62</f>
        <v>4302.4976525821603</v>
      </c>
    </row>
    <row r="62" spans="1:6" x14ac:dyDescent="0.25">
      <c r="A62" s="278"/>
      <c r="B62" s="299"/>
      <c r="C62" s="100">
        <v>2.13</v>
      </c>
      <c r="D62" s="101">
        <v>5.5880000000000001</v>
      </c>
      <c r="E62" s="301"/>
      <c r="F62" s="89"/>
    </row>
    <row r="63" spans="1:6" x14ac:dyDescent="0.25">
      <c r="A63" s="212" t="s">
        <v>4</v>
      </c>
      <c r="B63" s="213" t="s">
        <v>195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194</v>
      </c>
      <c r="C64" s="85" t="s">
        <v>169</v>
      </c>
      <c r="D64" s="102">
        <f>(C74*1.5%)</f>
        <v>3000</v>
      </c>
      <c r="E64" s="82">
        <f>D64/12</f>
        <v>250</v>
      </c>
    </row>
    <row r="65" spans="1:6" x14ac:dyDescent="0.25">
      <c r="A65" s="212" t="s">
        <v>6</v>
      </c>
      <c r="B65" s="213" t="s">
        <v>196</v>
      </c>
      <c r="C65" s="85" t="s">
        <v>169</v>
      </c>
      <c r="D65" s="102">
        <v>0</v>
      </c>
      <c r="E65" s="218">
        <v>0</v>
      </c>
    </row>
    <row r="66" spans="1:6" x14ac:dyDescent="0.25">
      <c r="A66" s="212" t="s">
        <v>31</v>
      </c>
      <c r="B66" s="213" t="s">
        <v>197</v>
      </c>
      <c r="C66" s="85" t="s">
        <v>169</v>
      </c>
      <c r="D66" s="102">
        <v>226.86</v>
      </c>
      <c r="E66" s="218">
        <f>D66/12</f>
        <v>18.905000000000001</v>
      </c>
    </row>
    <row r="67" spans="1:6" x14ac:dyDescent="0.25">
      <c r="A67" s="212" t="s">
        <v>32</v>
      </c>
      <c r="B67" s="213" t="s">
        <v>198</v>
      </c>
      <c r="C67" s="85" t="s">
        <v>169</v>
      </c>
      <c r="D67" s="102">
        <v>127.84</v>
      </c>
      <c r="E67" s="218">
        <f>D67/12</f>
        <v>10.653333333333334</v>
      </c>
    </row>
    <row r="68" spans="1:6" x14ac:dyDescent="0.25">
      <c r="A68" s="212" t="s">
        <v>33</v>
      </c>
      <c r="B68" s="213" t="s">
        <v>199</v>
      </c>
      <c r="C68" s="85" t="s">
        <v>169</v>
      </c>
      <c r="D68" s="102">
        <v>450</v>
      </c>
      <c r="E68" s="218">
        <f>D68/12</f>
        <v>37.5</v>
      </c>
    </row>
    <row r="69" spans="1:6" x14ac:dyDescent="0.25">
      <c r="A69" s="277" t="s">
        <v>34</v>
      </c>
      <c r="B69" s="213" t="s">
        <v>203</v>
      </c>
      <c r="C69" s="219">
        <v>12600</v>
      </c>
      <c r="D69" s="102"/>
      <c r="E69" s="300">
        <f>C72</f>
        <v>413.28000000000003</v>
      </c>
    </row>
    <row r="70" spans="1:6" x14ac:dyDescent="0.25">
      <c r="A70" s="277"/>
      <c r="B70" s="213" t="s">
        <v>201</v>
      </c>
      <c r="C70" s="221">
        <v>50000</v>
      </c>
      <c r="D70" s="102"/>
      <c r="E70" s="305"/>
    </row>
    <row r="71" spans="1:6" x14ac:dyDescent="0.25">
      <c r="A71" s="277"/>
      <c r="B71" s="213" t="s">
        <v>202</v>
      </c>
      <c r="C71" s="220">
        <f>C69/C70</f>
        <v>0.252</v>
      </c>
      <c r="D71" s="102"/>
      <c r="E71" s="305"/>
    </row>
    <row r="72" spans="1:6" x14ac:dyDescent="0.25">
      <c r="A72" s="278"/>
      <c r="B72" s="213" t="s">
        <v>200</v>
      </c>
      <c r="C72" s="220">
        <f>C71*D17</f>
        <v>413.28000000000003</v>
      </c>
      <c r="D72" s="102"/>
      <c r="E72" s="301"/>
    </row>
    <row r="73" spans="1:6" x14ac:dyDescent="0.25">
      <c r="A73" s="289" t="s">
        <v>204</v>
      </c>
      <c r="B73" s="302" t="s">
        <v>170</v>
      </c>
      <c r="C73" s="85" t="s">
        <v>171</v>
      </c>
      <c r="D73" s="84" t="s">
        <v>208</v>
      </c>
      <c r="E73" s="303">
        <f>D74/12</f>
        <v>1666.6666666666667</v>
      </c>
    </row>
    <row r="74" spans="1:6" ht="15" customHeight="1" x14ac:dyDescent="0.25">
      <c r="A74" s="289"/>
      <c r="B74" s="302"/>
      <c r="C74" s="103">
        <v>200000</v>
      </c>
      <c r="D74" s="83">
        <f>C74*10%</f>
        <v>20000</v>
      </c>
      <c r="E74" s="304"/>
    </row>
    <row r="75" spans="1:6" ht="15" customHeight="1" x14ac:dyDescent="0.25">
      <c r="A75" s="276" t="s">
        <v>205</v>
      </c>
      <c r="B75" s="339" t="s">
        <v>172</v>
      </c>
      <c r="C75" s="86" t="s">
        <v>147</v>
      </c>
      <c r="D75" s="88" t="s">
        <v>68</v>
      </c>
      <c r="E75" s="303">
        <f>C76*D76</f>
        <v>2151.2488262910801</v>
      </c>
    </row>
    <row r="76" spans="1:6" ht="15" customHeight="1" x14ac:dyDescent="0.25">
      <c r="A76" s="278"/>
      <c r="B76" s="340"/>
      <c r="C76" s="87">
        <f>E61</f>
        <v>4302.4976525821603</v>
      </c>
      <c r="D76" s="98">
        <v>0.5</v>
      </c>
      <c r="E76" s="304"/>
      <c r="F76" s="89"/>
    </row>
    <row r="77" spans="1:6" x14ac:dyDescent="0.25">
      <c r="A77" s="231" t="s">
        <v>55</v>
      </c>
      <c r="B77" s="231"/>
      <c r="C77" s="231"/>
      <c r="D77" s="231"/>
      <c r="E77" s="3">
        <f>SUM(E61:E76)</f>
        <v>9059.0848122065727</v>
      </c>
    </row>
    <row r="78" spans="1:6" x14ac:dyDescent="0.25">
      <c r="A78" s="29" t="s">
        <v>27</v>
      </c>
      <c r="B78" s="267" t="s">
        <v>186</v>
      </c>
      <c r="C78" s="267"/>
      <c r="D78" s="267"/>
      <c r="E78" s="268"/>
    </row>
    <row r="80" spans="1:6" x14ac:dyDescent="0.25">
      <c r="A80" s="266" t="s">
        <v>56</v>
      </c>
      <c r="B80" s="266"/>
      <c r="C80" s="266" t="s">
        <v>57</v>
      </c>
      <c r="D80" s="266"/>
      <c r="E80" s="266"/>
    </row>
    <row r="81" spans="1:5" x14ac:dyDescent="0.25">
      <c r="A81" s="306" t="s">
        <v>58</v>
      </c>
      <c r="B81" s="307"/>
      <c r="C81" s="306" t="s">
        <v>59</v>
      </c>
      <c r="D81" s="308"/>
      <c r="E81" s="307"/>
    </row>
    <row r="82" spans="1:5" x14ac:dyDescent="0.25">
      <c r="A82" s="28" t="s">
        <v>60</v>
      </c>
      <c r="B82" s="231" t="s">
        <v>59</v>
      </c>
      <c r="C82" s="231"/>
      <c r="D82" s="28" t="s">
        <v>68</v>
      </c>
      <c r="E82" s="28" t="s">
        <v>41</v>
      </c>
    </row>
    <row r="83" spans="1:5" x14ac:dyDescent="0.25">
      <c r="A83" s="27" t="s">
        <v>3</v>
      </c>
      <c r="B83" s="232" t="s">
        <v>61</v>
      </c>
      <c r="C83" s="232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2" t="s">
        <v>62</v>
      </c>
      <c r="C84" s="232"/>
      <c r="D84" s="9">
        <f>IF(D9=1,1.5%,IF(D9=2,1.5%,IF(D9=3,0%,IF(D9=4,0%,"RT Indefinido"))))</f>
        <v>1.4999999999999999E-2</v>
      </c>
      <c r="E84" s="22">
        <f>ROUND(E39*D84,2)</f>
        <v>30.07</v>
      </c>
    </row>
    <row r="85" spans="1:5" x14ac:dyDescent="0.25">
      <c r="A85" s="27" t="s">
        <v>5</v>
      </c>
      <c r="B85" s="232" t="s">
        <v>63</v>
      </c>
      <c r="C85" s="232"/>
      <c r="D85" s="9">
        <f>IF(D9=1,1%,IF(D9=2,1%,IF(D9=3,0%,IF(D9=4,0%,"RT Indefinido"))))</f>
        <v>0.01</v>
      </c>
      <c r="E85" s="22">
        <f>ROUND(E39*D85,2)</f>
        <v>20.05</v>
      </c>
    </row>
    <row r="86" spans="1:5" x14ac:dyDescent="0.25">
      <c r="A86" s="27" t="s">
        <v>6</v>
      </c>
      <c r="B86" s="309" t="s">
        <v>64</v>
      </c>
      <c r="C86" s="309"/>
      <c r="D86" s="91">
        <f>IF(D9=1,0.2%,IF(D9=2,0.2%,IF(D9=3,0%,IF(D9=4,0%,"RT Indefinido"))))</f>
        <v>2E-3</v>
      </c>
      <c r="E86" s="92">
        <f>ROUND(E39*D86,2)</f>
        <v>4.01</v>
      </c>
    </row>
    <row r="87" spans="1:5" x14ac:dyDescent="0.25">
      <c r="A87" s="27" t="s">
        <v>31</v>
      </c>
      <c r="B87" s="232" t="s">
        <v>65</v>
      </c>
      <c r="C87" s="232"/>
      <c r="D87" s="9">
        <f>IF(D9=1,2.5%,IF(D9=2,2.5%,IF(D9=3,0%,IF(D9=4,0%,"RT Indefinido"))))</f>
        <v>2.5000000000000001E-2</v>
      </c>
      <c r="E87" s="22">
        <f>ROUND(E39*D87,2)</f>
        <v>50.11</v>
      </c>
    </row>
    <row r="88" spans="1:5" x14ac:dyDescent="0.25">
      <c r="A88" s="27" t="s">
        <v>32</v>
      </c>
      <c r="B88" s="310" t="s">
        <v>66</v>
      </c>
      <c r="C88" s="310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311" t="s">
        <v>143</v>
      </c>
      <c r="C89" s="311"/>
      <c r="D89" s="93">
        <v>0.03</v>
      </c>
      <c r="E89" s="63">
        <f>ROUND(E39*D89,2)</f>
        <v>60.14</v>
      </c>
    </row>
    <row r="90" spans="1:5" x14ac:dyDescent="0.25">
      <c r="A90" s="27" t="s">
        <v>34</v>
      </c>
      <c r="B90" s="310" t="s">
        <v>67</v>
      </c>
      <c r="C90" s="310"/>
      <c r="D90" s="9">
        <f>IF(D9=1,0.6%,IF(D9=2,0.6%,IF(D9=3,0%,IF(D9=4,0%,"RT Indefinido"))))</f>
        <v>6.0000000000000001E-3</v>
      </c>
      <c r="E90" s="22">
        <f>ROUND(E39*D90,2)</f>
        <v>12.03</v>
      </c>
    </row>
    <row r="91" spans="1:5" x14ac:dyDescent="0.25">
      <c r="A91" s="231" t="s">
        <v>77</v>
      </c>
      <c r="B91" s="231"/>
      <c r="C91" s="231"/>
      <c r="D91" s="11">
        <f>SUM(D83:D90)</f>
        <v>0.3680000000000001</v>
      </c>
      <c r="E91" s="3">
        <f>SUM(E83:E90)</f>
        <v>737.69999999999993</v>
      </c>
    </row>
    <row r="92" spans="1:5" x14ac:dyDescent="0.25">
      <c r="A92" s="8" t="s">
        <v>25</v>
      </c>
      <c r="B92" s="312" t="s">
        <v>69</v>
      </c>
      <c r="C92" s="312"/>
      <c r="D92" s="312"/>
      <c r="E92" s="313"/>
    </row>
    <row r="93" spans="1:5" x14ac:dyDescent="0.25">
      <c r="A93" s="12" t="s">
        <v>26</v>
      </c>
      <c r="B93" s="264" t="s">
        <v>70</v>
      </c>
      <c r="C93" s="264"/>
      <c r="D93" s="264"/>
      <c r="E93" s="265"/>
    </row>
    <row r="95" spans="1:5" x14ac:dyDescent="0.25">
      <c r="A95" s="306" t="s">
        <v>71</v>
      </c>
      <c r="B95" s="307"/>
      <c r="C95" s="306" t="s">
        <v>72</v>
      </c>
      <c r="D95" s="308"/>
      <c r="E95" s="307"/>
    </row>
    <row r="96" spans="1:5" x14ac:dyDescent="0.25">
      <c r="A96" s="28" t="s">
        <v>78</v>
      </c>
      <c r="B96" s="231" t="s">
        <v>72</v>
      </c>
      <c r="C96" s="231"/>
      <c r="D96" s="28" t="s">
        <v>68</v>
      </c>
      <c r="E96" s="28" t="s">
        <v>41</v>
      </c>
    </row>
    <row r="97" spans="1:6" x14ac:dyDescent="0.25">
      <c r="A97" s="27" t="s">
        <v>3</v>
      </c>
      <c r="B97" s="232" t="s">
        <v>73</v>
      </c>
      <c r="C97" s="232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2" t="s">
        <v>74</v>
      </c>
      <c r="C98" s="232"/>
      <c r="D98" s="9">
        <f>100/12/100/3</f>
        <v>2.777777777777778E-2</v>
      </c>
      <c r="E98" s="22">
        <f>ROUND(E39*D98,2)</f>
        <v>55.68</v>
      </c>
    </row>
    <row r="99" spans="1:6" x14ac:dyDescent="0.25">
      <c r="A99" s="225" t="s">
        <v>75</v>
      </c>
      <c r="B99" s="226"/>
      <c r="C99" s="314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76" t="s">
        <v>5</v>
      </c>
      <c r="B100" s="315" t="s">
        <v>76</v>
      </c>
      <c r="C100" s="316"/>
      <c r="D100" s="319">
        <f>ROUND((E100*D99)/E99,4)</f>
        <v>4.0899999999999999E-2</v>
      </c>
      <c r="E100" s="321">
        <f>ROUND(E99*D91,2)</f>
        <v>81.96</v>
      </c>
    </row>
    <row r="101" spans="1:6" x14ac:dyDescent="0.25">
      <c r="A101" s="278"/>
      <c r="B101" s="317"/>
      <c r="C101" s="318"/>
      <c r="D101" s="320"/>
      <c r="E101" s="322"/>
    </row>
    <row r="102" spans="1:6" x14ac:dyDescent="0.25">
      <c r="A102" s="231" t="s">
        <v>77</v>
      </c>
      <c r="B102" s="231"/>
      <c r="C102" s="231"/>
      <c r="D102" s="11">
        <f>SUM(D99:D101)</f>
        <v>0.15201111111111112</v>
      </c>
      <c r="E102" s="3">
        <f>ROUND(SUM(E99:E101),2)</f>
        <v>304.69</v>
      </c>
    </row>
    <row r="104" spans="1:6" x14ac:dyDescent="0.25">
      <c r="A104" s="306" t="s">
        <v>79</v>
      </c>
      <c r="B104" s="307"/>
      <c r="C104" s="306" t="s">
        <v>81</v>
      </c>
      <c r="D104" s="308"/>
      <c r="E104" s="307"/>
      <c r="F104" s="215" t="s">
        <v>81</v>
      </c>
    </row>
    <row r="105" spans="1:6" x14ac:dyDescent="0.25">
      <c r="A105" s="28" t="s">
        <v>80</v>
      </c>
      <c r="B105" s="231" t="s">
        <v>81</v>
      </c>
      <c r="C105" s="231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2" t="s">
        <v>81</v>
      </c>
      <c r="C106" s="232"/>
      <c r="D106" s="16">
        <v>0</v>
      </c>
      <c r="E106" s="78">
        <v>0</v>
      </c>
    </row>
    <row r="107" spans="1:6" x14ac:dyDescent="0.25">
      <c r="A107" s="276" t="s">
        <v>4</v>
      </c>
      <c r="B107" s="315" t="s">
        <v>82</v>
      </c>
      <c r="C107" s="316"/>
      <c r="D107" s="319">
        <v>0</v>
      </c>
      <c r="E107" s="321">
        <f>ROUND(D91*E106,2)</f>
        <v>0</v>
      </c>
    </row>
    <row r="108" spans="1:6" x14ac:dyDescent="0.25">
      <c r="A108" s="278"/>
      <c r="B108" s="317"/>
      <c r="C108" s="318"/>
      <c r="D108" s="320"/>
      <c r="E108" s="322"/>
    </row>
    <row r="109" spans="1:6" x14ac:dyDescent="0.25">
      <c r="A109" s="231" t="s">
        <v>77</v>
      </c>
      <c r="B109" s="231"/>
      <c r="C109" s="231"/>
      <c r="D109" s="11">
        <f>SUM(D106:D108)</f>
        <v>0</v>
      </c>
      <c r="E109" s="3">
        <f>ROUND(SUM(E106:E108),2)</f>
        <v>0</v>
      </c>
    </row>
    <row r="111" spans="1:6" x14ac:dyDescent="0.25">
      <c r="A111" s="306" t="s">
        <v>83</v>
      </c>
      <c r="B111" s="307"/>
      <c r="C111" s="306" t="s">
        <v>85</v>
      </c>
      <c r="D111" s="308"/>
      <c r="E111" s="307"/>
    </row>
    <row r="112" spans="1:6" x14ac:dyDescent="0.25">
      <c r="A112" s="28" t="s">
        <v>84</v>
      </c>
      <c r="B112" s="231" t="s">
        <v>85</v>
      </c>
      <c r="C112" s="231"/>
      <c r="D112" s="28" t="s">
        <v>68</v>
      </c>
      <c r="E112" s="28" t="s">
        <v>41</v>
      </c>
    </row>
    <row r="113" spans="1:6" x14ac:dyDescent="0.25">
      <c r="A113" s="27" t="s">
        <v>3</v>
      </c>
      <c r="B113" s="232" t="s">
        <v>91</v>
      </c>
      <c r="C113" s="232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323" t="s">
        <v>144</v>
      </c>
      <c r="C114" s="324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2" t="s">
        <v>92</v>
      </c>
      <c r="C115" s="232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2" t="s">
        <v>93</v>
      </c>
      <c r="C116" s="232"/>
      <c r="D116" s="16">
        <f>ROUND(E116/E39,4)</f>
        <v>2.3300000000000001E-2</v>
      </c>
      <c r="E116" s="58">
        <f>ROUND(((E39/30)*7)/E14,2)</f>
        <v>46.77</v>
      </c>
    </row>
    <row r="117" spans="1:6" x14ac:dyDescent="0.25">
      <c r="A117" s="15" t="s">
        <v>31</v>
      </c>
      <c r="B117" s="323" t="s">
        <v>94</v>
      </c>
      <c r="C117" s="324"/>
      <c r="D117" s="23">
        <f>ROUND(E117/E39,4)</f>
        <v>8.6E-3</v>
      </c>
      <c r="E117" s="57">
        <f>ROUND(E116*D91,2)</f>
        <v>17.21</v>
      </c>
    </row>
    <row r="118" spans="1:6" x14ac:dyDescent="0.25">
      <c r="A118" s="35" t="s">
        <v>6</v>
      </c>
      <c r="B118" s="325" t="s">
        <v>146</v>
      </c>
      <c r="C118" s="326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1" t="s">
        <v>77</v>
      </c>
      <c r="B119" s="231"/>
      <c r="C119" s="231"/>
      <c r="D119" s="17">
        <f>ROUND(SUM(D113:D118),4)</f>
        <v>8.6400000000000005E-2</v>
      </c>
      <c r="E119" s="3">
        <f>ROUND(SUM(E113:E118),2)</f>
        <v>173.23</v>
      </c>
    </row>
    <row r="121" spans="1:6" x14ac:dyDescent="0.25">
      <c r="A121" s="306" t="s">
        <v>95</v>
      </c>
      <c r="B121" s="307"/>
      <c r="C121" s="306" t="s">
        <v>97</v>
      </c>
      <c r="D121" s="308"/>
      <c r="E121" s="307"/>
      <c r="F121" s="215" t="s">
        <v>88</v>
      </c>
    </row>
    <row r="122" spans="1:6" x14ac:dyDescent="0.25">
      <c r="A122" s="30" t="s">
        <v>96</v>
      </c>
      <c r="B122" s="327" t="s">
        <v>98</v>
      </c>
      <c r="C122" s="328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2" t="s">
        <v>86</v>
      </c>
      <c r="C123" s="232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329" t="s">
        <v>87</v>
      </c>
      <c r="C124" s="330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2" t="s">
        <v>88</v>
      </c>
      <c r="C125" s="232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2" t="s">
        <v>89</v>
      </c>
      <c r="C126" s="232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48" t="s">
        <v>90</v>
      </c>
      <c r="C127" s="331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76" t="s">
        <v>32</v>
      </c>
      <c r="B128" s="332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78"/>
      <c r="B129" s="332"/>
      <c r="C129" s="2"/>
      <c r="D129" s="1">
        <v>0</v>
      </c>
      <c r="E129" s="65">
        <f>ROUND(E39*D129,2)</f>
        <v>0</v>
      </c>
    </row>
    <row r="130" spans="1:5" x14ac:dyDescent="0.25">
      <c r="A130" s="333" t="s">
        <v>75</v>
      </c>
      <c r="B130" s="334"/>
      <c r="C130" s="335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323" t="s">
        <v>99</v>
      </c>
      <c r="C131" s="324"/>
      <c r="D131" s="23">
        <f>ROUND(E131/E39,4)</f>
        <v>3.6999999999999998E-2</v>
      </c>
      <c r="E131" s="57">
        <f>ROUND(E130*D91,2)</f>
        <v>74.16</v>
      </c>
    </row>
    <row r="132" spans="1:5" x14ac:dyDescent="0.25">
      <c r="A132" s="231" t="s">
        <v>77</v>
      </c>
      <c r="B132" s="231"/>
      <c r="C132" s="231"/>
      <c r="D132" s="17">
        <f>ROUND(D130+D131,4)</f>
        <v>0.13750000000000001</v>
      </c>
      <c r="E132" s="3">
        <f>ROUND(E130+E131,2)</f>
        <v>275.67</v>
      </c>
    </row>
    <row r="134" spans="1:5" x14ac:dyDescent="0.25">
      <c r="A134" s="306" t="s">
        <v>100</v>
      </c>
      <c r="B134" s="307"/>
      <c r="C134" s="306" t="s">
        <v>101</v>
      </c>
      <c r="D134" s="308"/>
      <c r="E134" s="307"/>
    </row>
    <row r="135" spans="1:5" x14ac:dyDescent="0.25">
      <c r="A135" s="30">
        <v>4</v>
      </c>
      <c r="B135" s="327" t="s">
        <v>102</v>
      </c>
      <c r="C135" s="328"/>
      <c r="D135" s="30" t="s">
        <v>68</v>
      </c>
      <c r="E135" s="30" t="s">
        <v>41</v>
      </c>
    </row>
    <row r="136" spans="1:5" x14ac:dyDescent="0.25">
      <c r="A136" s="27" t="s">
        <v>60</v>
      </c>
      <c r="B136" s="232" t="s">
        <v>59</v>
      </c>
      <c r="C136" s="232"/>
      <c r="D136" s="16">
        <f>D91</f>
        <v>0.3680000000000001</v>
      </c>
      <c r="E136" s="22">
        <f>E91</f>
        <v>737.69999999999993</v>
      </c>
    </row>
    <row r="137" spans="1:5" x14ac:dyDescent="0.25">
      <c r="A137" s="15" t="s">
        <v>78</v>
      </c>
      <c r="B137" s="329" t="s">
        <v>72</v>
      </c>
      <c r="C137" s="330"/>
      <c r="D137" s="23">
        <f>D102</f>
        <v>0.15201111111111112</v>
      </c>
      <c r="E137" s="22">
        <f>E102</f>
        <v>304.69</v>
      </c>
    </row>
    <row r="138" spans="1:5" x14ac:dyDescent="0.25">
      <c r="A138" s="27" t="s">
        <v>80</v>
      </c>
      <c r="B138" s="232" t="s">
        <v>81</v>
      </c>
      <c r="C138" s="232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2" t="s">
        <v>85</v>
      </c>
      <c r="C139" s="232"/>
      <c r="D139" s="16">
        <f>D119</f>
        <v>8.6400000000000005E-2</v>
      </c>
      <c r="E139" s="22">
        <f>E119</f>
        <v>173.23</v>
      </c>
    </row>
    <row r="140" spans="1:5" x14ac:dyDescent="0.25">
      <c r="A140" s="27" t="s">
        <v>96</v>
      </c>
      <c r="B140" s="248" t="s">
        <v>104</v>
      </c>
      <c r="C140" s="331"/>
      <c r="D140" s="16">
        <f>D132</f>
        <v>0.13750000000000001</v>
      </c>
      <c r="E140" s="22">
        <f>E132</f>
        <v>275.67</v>
      </c>
    </row>
    <row r="141" spans="1:5" x14ac:dyDescent="0.25">
      <c r="A141" s="276" t="s">
        <v>103</v>
      </c>
      <c r="B141" s="332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78"/>
      <c r="B142" s="332"/>
      <c r="C142" s="46"/>
      <c r="D142" s="47">
        <v>0</v>
      </c>
      <c r="E142" s="65">
        <f>E55*D142</f>
        <v>0</v>
      </c>
    </row>
    <row r="143" spans="1:5" x14ac:dyDescent="0.25">
      <c r="A143" s="231" t="s">
        <v>77</v>
      </c>
      <c r="B143" s="231"/>
      <c r="C143" s="231"/>
      <c r="D143" s="17">
        <f>SUM(D136:D142)</f>
        <v>0.74391111111111119</v>
      </c>
      <c r="E143" s="3">
        <f>ROUND(SUM(E136:E142),2)</f>
        <v>1491.29</v>
      </c>
    </row>
    <row r="145" spans="1:6" x14ac:dyDescent="0.25">
      <c r="A145" s="266" t="s">
        <v>105</v>
      </c>
      <c r="B145" s="266"/>
      <c r="C145" s="266" t="s">
        <v>106</v>
      </c>
      <c r="D145" s="266"/>
      <c r="E145" s="266"/>
    </row>
    <row r="146" spans="1:6" x14ac:dyDescent="0.25">
      <c r="A146" s="28">
        <v>5</v>
      </c>
      <c r="B146" s="231" t="s">
        <v>107</v>
      </c>
      <c r="C146" s="231"/>
      <c r="D146" s="28" t="s">
        <v>68</v>
      </c>
      <c r="E146" s="28" t="s">
        <v>41</v>
      </c>
    </row>
    <row r="147" spans="1:6" x14ac:dyDescent="0.25">
      <c r="A147" s="276" t="s">
        <v>3</v>
      </c>
      <c r="B147" s="336" t="s">
        <v>151</v>
      </c>
      <c r="C147" s="337"/>
      <c r="D147" s="338"/>
      <c r="E147" s="56">
        <f>E39+E55+E77+E143</f>
        <v>13247.222812206572</v>
      </c>
    </row>
    <row r="148" spans="1:6" x14ac:dyDescent="0.25">
      <c r="A148" s="278"/>
      <c r="B148" s="232" t="s">
        <v>108</v>
      </c>
      <c r="C148" s="232"/>
      <c r="D148" s="60">
        <v>5.8999999999999997E-2</v>
      </c>
      <c r="E148" s="24">
        <f>E147*D148</f>
        <v>781.58614592018773</v>
      </c>
    </row>
    <row r="149" spans="1:6" x14ac:dyDescent="0.25">
      <c r="A149" s="341" t="s">
        <v>4</v>
      </c>
      <c r="B149" s="344" t="s">
        <v>109</v>
      </c>
      <c r="C149" s="345"/>
      <c r="D149" s="345"/>
      <c r="E149" s="346"/>
    </row>
    <row r="150" spans="1:6" x14ac:dyDescent="0.25">
      <c r="A150" s="342"/>
      <c r="B150" s="347" t="s">
        <v>110</v>
      </c>
      <c r="C150" s="7" t="s">
        <v>141</v>
      </c>
      <c r="D150" s="9">
        <v>0</v>
      </c>
      <c r="E150" s="24">
        <f>ROUND((E174+E148+E162)/(1-D160)*D150,2)</f>
        <v>0</v>
      </c>
    </row>
    <row r="151" spans="1:6" x14ac:dyDescent="0.25">
      <c r="A151" s="342"/>
      <c r="B151" s="348"/>
      <c r="C151" s="7" t="s">
        <v>112</v>
      </c>
      <c r="D151" s="9">
        <v>0</v>
      </c>
      <c r="E151" s="24">
        <f>ROUND((E174+E148+E162)/(1-D160)*D151,2)</f>
        <v>0</v>
      </c>
    </row>
    <row r="152" spans="1:6" x14ac:dyDescent="0.25">
      <c r="A152" s="342"/>
      <c r="B152" s="348"/>
      <c r="C152" s="7" t="s">
        <v>111</v>
      </c>
      <c r="D152" s="9">
        <v>0.03</v>
      </c>
      <c r="E152" s="24">
        <f>ROUND((E174+E148+E162)/(1-D160)*D152,2)</f>
        <v>586.1</v>
      </c>
    </row>
    <row r="153" spans="1:6" x14ac:dyDescent="0.25">
      <c r="A153" s="342"/>
      <c r="B153" s="349"/>
      <c r="C153" s="19" t="s">
        <v>113</v>
      </c>
      <c r="D153" s="9">
        <v>6.4999999999999997E-3</v>
      </c>
      <c r="E153" s="24">
        <f>ROUND((E174+E148+E162)/(1-D160)*D153,2)</f>
        <v>126.99</v>
      </c>
    </row>
    <row r="154" spans="1:6" x14ac:dyDescent="0.25">
      <c r="A154" s="342"/>
      <c r="B154" s="332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342"/>
      <c r="B155" s="332"/>
      <c r="C155" s="19"/>
      <c r="D155" s="10">
        <v>0</v>
      </c>
      <c r="E155" s="24">
        <f>ROUND((E174+E151+E162)/(1-D160)*D155,2)</f>
        <v>0</v>
      </c>
    </row>
    <row r="156" spans="1:6" x14ac:dyDescent="0.25">
      <c r="A156" s="342"/>
      <c r="B156" s="350" t="s">
        <v>115</v>
      </c>
      <c r="C156" s="19" t="s">
        <v>116</v>
      </c>
      <c r="D156" s="44">
        <v>0.03</v>
      </c>
      <c r="E156" s="24">
        <f>ROUND((E174+E148+E162)/(1-D160)*D156,2)</f>
        <v>586.1</v>
      </c>
    </row>
    <row r="157" spans="1:6" x14ac:dyDescent="0.25">
      <c r="A157" s="342"/>
      <c r="B157" s="350"/>
      <c r="C157" s="19"/>
      <c r="D157" s="10">
        <v>0</v>
      </c>
      <c r="E157" s="24">
        <f>ROUND((E174+E148+E162)/(1-D171)*D157,2)</f>
        <v>0</v>
      </c>
    </row>
    <row r="158" spans="1:6" x14ac:dyDescent="0.25">
      <c r="A158" s="342"/>
      <c r="B158" s="351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342"/>
      <c r="B159" s="352"/>
      <c r="C159" s="19"/>
      <c r="D159" s="10">
        <v>0</v>
      </c>
      <c r="E159" s="24">
        <f>ROUND((E174+E148+E162)/(1-D162)*D159,2)</f>
        <v>0</v>
      </c>
    </row>
    <row r="160" spans="1:6" x14ac:dyDescent="0.25">
      <c r="A160" s="343"/>
      <c r="B160" s="353" t="s">
        <v>145</v>
      </c>
      <c r="C160" s="354"/>
      <c r="D160" s="18">
        <f>SUM(D150:D159)</f>
        <v>6.6500000000000004E-2</v>
      </c>
      <c r="E160" s="3">
        <f>ROUND(((E174+E148+E162)/(1-D160))*D160,2)</f>
        <v>1299.19</v>
      </c>
      <c r="F160" s="90"/>
    </row>
    <row r="161" spans="1:6" x14ac:dyDescent="0.25">
      <c r="A161" s="276" t="s">
        <v>5</v>
      </c>
      <c r="B161" s="336" t="s">
        <v>152</v>
      </c>
      <c r="C161" s="337"/>
      <c r="D161" s="338"/>
      <c r="E161" s="56">
        <f>E39+E55+E77+E143+E148</f>
        <v>14028.80895812676</v>
      </c>
    </row>
    <row r="162" spans="1:6" x14ac:dyDescent="0.25">
      <c r="A162" s="278"/>
      <c r="B162" s="310" t="s">
        <v>118</v>
      </c>
      <c r="C162" s="310"/>
      <c r="D162" s="64">
        <v>0.3</v>
      </c>
      <c r="E162" s="24">
        <f>(E161*D162)</f>
        <v>4208.6426874380277</v>
      </c>
    </row>
    <row r="163" spans="1:6" x14ac:dyDescent="0.25">
      <c r="A163" s="231" t="s">
        <v>77</v>
      </c>
      <c r="B163" s="231"/>
      <c r="C163" s="231"/>
      <c r="D163" s="11">
        <f>ROUND(SUM(D148+D160+D162),4)</f>
        <v>0.42549999999999999</v>
      </c>
      <c r="E163" s="3">
        <f>E148+E160+E162</f>
        <v>6289.4188333582151</v>
      </c>
    </row>
    <row r="164" spans="1:6" x14ac:dyDescent="0.25">
      <c r="A164" s="8" t="s">
        <v>25</v>
      </c>
      <c r="B164" s="312" t="s">
        <v>119</v>
      </c>
      <c r="C164" s="312"/>
      <c r="D164" s="312"/>
      <c r="E164" s="313"/>
    </row>
    <row r="165" spans="1:6" x14ac:dyDescent="0.25">
      <c r="A165" s="12" t="s">
        <v>26</v>
      </c>
      <c r="B165" s="264" t="s">
        <v>120</v>
      </c>
      <c r="C165" s="264"/>
      <c r="D165" s="264"/>
      <c r="E165" s="265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359" t="s">
        <v>178</v>
      </c>
      <c r="B167" s="359"/>
      <c r="C167" s="359"/>
      <c r="D167" s="359"/>
      <c r="E167" s="359"/>
    </row>
    <row r="168" spans="1:6" x14ac:dyDescent="0.25">
      <c r="A168" s="266" t="s">
        <v>121</v>
      </c>
      <c r="B168" s="266"/>
      <c r="C168" s="266"/>
      <c r="D168" s="266"/>
      <c r="E168" s="266"/>
    </row>
    <row r="169" spans="1:6" x14ac:dyDescent="0.25">
      <c r="A169" s="252" t="s">
        <v>122</v>
      </c>
      <c r="B169" s="252"/>
      <c r="C169" s="252"/>
      <c r="D169" s="252"/>
      <c r="E169" s="69" t="s">
        <v>129</v>
      </c>
    </row>
    <row r="170" spans="1:6" x14ac:dyDescent="0.25">
      <c r="A170" s="27" t="s">
        <v>3</v>
      </c>
      <c r="B170" s="232" t="s">
        <v>125</v>
      </c>
      <c r="C170" s="232"/>
      <c r="D170" s="232"/>
      <c r="E170" s="25">
        <f>E39</f>
        <v>2004.59</v>
      </c>
    </row>
    <row r="171" spans="1:6" x14ac:dyDescent="0.25">
      <c r="A171" s="27" t="s">
        <v>4</v>
      </c>
      <c r="B171" s="232" t="s">
        <v>126</v>
      </c>
      <c r="C171" s="232"/>
      <c r="D171" s="232"/>
      <c r="E171" s="25">
        <f>E55</f>
        <v>692.25800000000004</v>
      </c>
    </row>
    <row r="172" spans="1:6" x14ac:dyDescent="0.25">
      <c r="A172" s="27" t="s">
        <v>5</v>
      </c>
      <c r="B172" s="232" t="s">
        <v>127</v>
      </c>
      <c r="C172" s="232"/>
      <c r="D172" s="232"/>
      <c r="E172" s="25">
        <f>E77</f>
        <v>9059.0848122065727</v>
      </c>
    </row>
    <row r="173" spans="1:6" x14ac:dyDescent="0.25">
      <c r="A173" s="27" t="s">
        <v>6</v>
      </c>
      <c r="B173" s="232" t="s">
        <v>102</v>
      </c>
      <c r="C173" s="232"/>
      <c r="D173" s="232"/>
      <c r="E173" s="25">
        <f>E143</f>
        <v>1491.29</v>
      </c>
    </row>
    <row r="174" spans="1:6" x14ac:dyDescent="0.25">
      <c r="A174" s="231" t="s">
        <v>123</v>
      </c>
      <c r="B174" s="231"/>
      <c r="C174" s="231"/>
      <c r="D174" s="231"/>
      <c r="E174" s="20">
        <f>SUM(E170:E173)</f>
        <v>13247.222812206572</v>
      </c>
    </row>
    <row r="175" spans="1:6" x14ac:dyDescent="0.25">
      <c r="A175" s="27" t="s">
        <v>31</v>
      </c>
      <c r="B175" s="248" t="s">
        <v>128</v>
      </c>
      <c r="C175" s="249"/>
      <c r="D175" s="331"/>
      <c r="E175" s="25">
        <f>E163</f>
        <v>6289.4188333582151</v>
      </c>
    </row>
    <row r="176" spans="1:6" x14ac:dyDescent="0.25">
      <c r="A176" s="225" t="s">
        <v>124</v>
      </c>
      <c r="B176" s="226"/>
      <c r="C176" s="226"/>
      <c r="D176" s="226"/>
      <c r="E176" s="21">
        <f>E174+E175</f>
        <v>19536.641645564785</v>
      </c>
      <c r="F176" s="90"/>
    </row>
    <row r="177" spans="1:5" x14ac:dyDescent="0.25">
      <c r="A177" s="225" t="s">
        <v>175</v>
      </c>
      <c r="B177" s="226"/>
      <c r="C177" s="226"/>
      <c r="D177" s="226"/>
      <c r="E177" s="21">
        <f>ROUND((E176/D18),2)</f>
        <v>11.91</v>
      </c>
    </row>
    <row r="179" spans="1:5" x14ac:dyDescent="0.25">
      <c r="B179" s="227" t="s">
        <v>159</v>
      </c>
      <c r="C179" s="227"/>
      <c r="D179" s="227"/>
      <c r="E179" s="227"/>
    </row>
    <row r="180" spans="1:5" x14ac:dyDescent="0.25">
      <c r="B180" s="230" t="s">
        <v>155</v>
      </c>
      <c r="C180" s="230"/>
      <c r="D180" s="228" t="s">
        <v>160</v>
      </c>
      <c r="E180" s="228"/>
    </row>
    <row r="181" spans="1:5" x14ac:dyDescent="0.25">
      <c r="B181" s="72" t="s">
        <v>156</v>
      </c>
      <c r="C181" s="72" t="s">
        <v>157</v>
      </c>
      <c r="D181" s="229">
        <v>0</v>
      </c>
      <c r="E181" s="229"/>
    </row>
    <row r="182" spans="1:5" x14ac:dyDescent="0.25">
      <c r="B182" s="72" t="s">
        <v>111</v>
      </c>
      <c r="C182" s="67">
        <v>0</v>
      </c>
      <c r="D182" s="355" t="s">
        <v>176</v>
      </c>
      <c r="E182" s="356"/>
    </row>
    <row r="183" spans="1:5" x14ac:dyDescent="0.25">
      <c r="B183" s="72" t="s">
        <v>113</v>
      </c>
      <c r="C183" s="67">
        <v>0</v>
      </c>
      <c r="D183" s="357"/>
      <c r="E183" s="358"/>
    </row>
    <row r="184" spans="1:5" x14ac:dyDescent="0.25">
      <c r="B184" s="72" t="s">
        <v>158</v>
      </c>
      <c r="C184" s="67">
        <v>0</v>
      </c>
    </row>
  </sheetData>
  <mergeCells count="186"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373" t="s">
        <v>179</v>
      </c>
      <c r="B1" s="373"/>
      <c r="C1" s="373"/>
      <c r="D1" s="373"/>
      <c r="E1" s="373"/>
      <c r="F1" s="104"/>
      <c r="G1" s="104"/>
    </row>
    <row r="2" spans="1:7" x14ac:dyDescent="0.25">
      <c r="A2" s="374"/>
      <c r="B2" s="374"/>
      <c r="C2" s="374"/>
      <c r="D2" s="374"/>
      <c r="E2" s="374"/>
      <c r="F2" s="104"/>
      <c r="G2" s="104"/>
    </row>
    <row r="3" spans="1:7" x14ac:dyDescent="0.25">
      <c r="A3" s="375" t="s">
        <v>184</v>
      </c>
      <c r="B3" s="376"/>
      <c r="C3" s="376"/>
      <c r="D3" s="376"/>
      <c r="E3" s="377"/>
      <c r="F3" s="104"/>
      <c r="G3" s="104"/>
    </row>
    <row r="4" spans="1:7" x14ac:dyDescent="0.25">
      <c r="A4" s="111" t="s">
        <v>135</v>
      </c>
      <c r="B4" s="378"/>
      <c r="C4" s="379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367" t="s">
        <v>137</v>
      </c>
      <c r="B6" s="367"/>
      <c r="C6" s="367"/>
      <c r="D6" s="367"/>
      <c r="E6" s="367"/>
      <c r="F6" s="104"/>
      <c r="G6" s="104"/>
    </row>
    <row r="7" spans="1:7" x14ac:dyDescent="0.25">
      <c r="A7" s="360" t="s">
        <v>138</v>
      </c>
      <c r="B7" s="360"/>
      <c r="C7" s="380"/>
      <c r="D7" s="380"/>
      <c r="E7" s="380"/>
      <c r="F7" s="104"/>
      <c r="G7" s="104"/>
    </row>
    <row r="8" spans="1:7" x14ac:dyDescent="0.25">
      <c r="A8" s="360" t="s">
        <v>139</v>
      </c>
      <c r="B8" s="360"/>
      <c r="C8" s="361"/>
      <c r="D8" s="362"/>
      <c r="E8" s="363"/>
      <c r="F8" s="104"/>
      <c r="G8" s="104"/>
    </row>
    <row r="9" spans="1:7" x14ac:dyDescent="0.25">
      <c r="A9" s="364" t="s">
        <v>140</v>
      </c>
      <c r="B9" s="365"/>
      <c r="C9" s="366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367" t="s">
        <v>174</v>
      </c>
      <c r="B10" s="367"/>
      <c r="C10" s="367"/>
      <c r="D10" s="367"/>
      <c r="E10" s="367"/>
      <c r="F10" s="104"/>
      <c r="G10" s="104"/>
    </row>
    <row r="11" spans="1:7" x14ac:dyDescent="0.25">
      <c r="A11" s="119" t="s">
        <v>3</v>
      </c>
      <c r="B11" s="368" t="s">
        <v>7</v>
      </c>
      <c r="C11" s="368"/>
      <c r="D11" s="368"/>
      <c r="E11" s="120"/>
      <c r="F11" s="104"/>
      <c r="G11" s="104"/>
    </row>
    <row r="12" spans="1:7" x14ac:dyDescent="0.25">
      <c r="A12" s="119" t="s">
        <v>4</v>
      </c>
      <c r="B12" s="369" t="s">
        <v>8</v>
      </c>
      <c r="C12" s="370"/>
      <c r="D12" s="371" t="s">
        <v>180</v>
      </c>
      <c r="E12" s="372"/>
      <c r="F12" s="104"/>
      <c r="G12" s="104"/>
    </row>
    <row r="13" spans="1:7" x14ac:dyDescent="0.25">
      <c r="A13" s="119" t="s">
        <v>5</v>
      </c>
      <c r="B13" s="368" t="s">
        <v>9</v>
      </c>
      <c r="C13" s="368"/>
      <c r="D13" s="368"/>
      <c r="E13" s="121" t="s">
        <v>181</v>
      </c>
      <c r="F13" s="104"/>
      <c r="G13" s="104"/>
    </row>
    <row r="14" spans="1:7" x14ac:dyDescent="0.25">
      <c r="A14" s="119" t="s">
        <v>6</v>
      </c>
      <c r="B14" s="368" t="s">
        <v>10</v>
      </c>
      <c r="C14" s="368"/>
      <c r="D14" s="368"/>
      <c r="E14" s="122">
        <v>10</v>
      </c>
      <c r="F14" s="104"/>
      <c r="G14" s="104"/>
    </row>
    <row r="15" spans="1:7" x14ac:dyDescent="0.25">
      <c r="A15" s="367" t="s">
        <v>134</v>
      </c>
      <c r="B15" s="367"/>
      <c r="C15" s="367"/>
      <c r="D15" s="367"/>
      <c r="E15" s="367"/>
      <c r="F15" s="104"/>
      <c r="G15" s="104"/>
    </row>
    <row r="16" spans="1:7" x14ac:dyDescent="0.25">
      <c r="A16" s="392" t="s">
        <v>11</v>
      </c>
      <c r="B16" s="392"/>
      <c r="C16" s="123" t="s">
        <v>12</v>
      </c>
      <c r="D16" s="392" t="s">
        <v>13</v>
      </c>
      <c r="E16" s="392"/>
      <c r="F16" s="104"/>
      <c r="G16" s="104"/>
    </row>
    <row r="17" spans="1:7" x14ac:dyDescent="0.25">
      <c r="A17" s="392" t="s">
        <v>163</v>
      </c>
      <c r="B17" s="392"/>
      <c r="C17" s="124" t="s">
        <v>182</v>
      </c>
      <c r="D17" s="393">
        <v>750.64</v>
      </c>
      <c r="E17" s="394"/>
      <c r="F17" s="104"/>
      <c r="G17" s="104"/>
    </row>
    <row r="18" spans="1:7" x14ac:dyDescent="0.25">
      <c r="A18" s="381" t="s">
        <v>153</v>
      </c>
      <c r="B18" s="382"/>
      <c r="C18" s="383"/>
      <c r="D18" s="384">
        <f>SUM(D17)</f>
        <v>750.64</v>
      </c>
      <c r="E18" s="385"/>
      <c r="F18" s="104"/>
      <c r="G18" s="104"/>
    </row>
    <row r="19" spans="1:7" x14ac:dyDescent="0.25">
      <c r="A19" s="125" t="s">
        <v>25</v>
      </c>
      <c r="B19" s="386" t="s">
        <v>14</v>
      </c>
      <c r="C19" s="386"/>
      <c r="D19" s="386"/>
      <c r="E19" s="387"/>
      <c r="F19" s="104"/>
      <c r="G19" s="104"/>
    </row>
    <row r="20" spans="1:7" x14ac:dyDescent="0.25">
      <c r="A20" s="126"/>
      <c r="B20" s="388" t="s">
        <v>15</v>
      </c>
      <c r="C20" s="388"/>
      <c r="D20" s="388"/>
      <c r="E20" s="389"/>
      <c r="F20" s="104"/>
      <c r="G20" s="104"/>
    </row>
    <row r="21" spans="1:7" x14ac:dyDescent="0.25">
      <c r="A21" s="125" t="s">
        <v>26</v>
      </c>
      <c r="B21" s="386" t="s">
        <v>16</v>
      </c>
      <c r="C21" s="386"/>
      <c r="D21" s="386"/>
      <c r="E21" s="387"/>
      <c r="F21" s="104"/>
      <c r="G21" s="104"/>
    </row>
    <row r="22" spans="1:7" x14ac:dyDescent="0.25">
      <c r="A22" s="126"/>
      <c r="B22" s="390" t="s">
        <v>17</v>
      </c>
      <c r="C22" s="390"/>
      <c r="D22" s="390"/>
      <c r="E22" s="391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74" t="s">
        <v>177</v>
      </c>
      <c r="B24" s="374"/>
      <c r="C24" s="374"/>
      <c r="D24" s="374"/>
      <c r="E24" s="374"/>
      <c r="F24" s="104"/>
      <c r="G24" s="104"/>
    </row>
    <row r="25" spans="1:7" x14ac:dyDescent="0.25">
      <c r="A25" s="397" t="s">
        <v>18</v>
      </c>
      <c r="B25" s="397"/>
      <c r="C25" s="397"/>
      <c r="D25" s="397"/>
      <c r="E25" s="397"/>
      <c r="F25" s="104"/>
      <c r="G25" s="104"/>
    </row>
    <row r="26" spans="1:7" x14ac:dyDescent="0.25">
      <c r="A26" s="398" t="s">
        <v>19</v>
      </c>
      <c r="B26" s="398"/>
      <c r="C26" s="398"/>
      <c r="D26" s="398"/>
      <c r="E26" s="398"/>
      <c r="F26" s="104"/>
      <c r="G26" s="104"/>
    </row>
    <row r="27" spans="1:7" x14ac:dyDescent="0.25">
      <c r="A27" s="368" t="s">
        <v>20</v>
      </c>
      <c r="B27" s="368"/>
      <c r="C27" s="368"/>
      <c r="D27" s="368"/>
      <c r="E27" s="368"/>
      <c r="F27" s="104"/>
      <c r="G27" s="104"/>
    </row>
    <row r="28" spans="1:7" x14ac:dyDescent="0.25">
      <c r="A28" s="119">
        <v>1</v>
      </c>
      <c r="B28" s="368" t="s">
        <v>21</v>
      </c>
      <c r="C28" s="368"/>
      <c r="D28" s="368"/>
      <c r="E28" s="128" t="s">
        <v>163</v>
      </c>
      <c r="F28" s="104"/>
      <c r="G28" s="104"/>
    </row>
    <row r="29" spans="1:7" x14ac:dyDescent="0.25">
      <c r="A29" s="119">
        <v>2</v>
      </c>
      <c r="B29" s="368" t="s">
        <v>22</v>
      </c>
      <c r="C29" s="368"/>
      <c r="D29" s="368"/>
      <c r="E29" s="129">
        <v>1869</v>
      </c>
      <c r="F29" s="104"/>
      <c r="G29" s="104"/>
    </row>
    <row r="30" spans="1:7" x14ac:dyDescent="0.25">
      <c r="A30" s="119">
        <v>3</v>
      </c>
      <c r="B30" s="368" t="s">
        <v>23</v>
      </c>
      <c r="C30" s="368"/>
      <c r="D30" s="368"/>
      <c r="E30" s="128" t="s">
        <v>164</v>
      </c>
      <c r="F30" s="104"/>
      <c r="G30" s="104"/>
    </row>
    <row r="31" spans="1:7" x14ac:dyDescent="0.25">
      <c r="A31" s="119">
        <v>4</v>
      </c>
      <c r="B31" s="368" t="s">
        <v>24</v>
      </c>
      <c r="C31" s="368"/>
      <c r="D31" s="368"/>
      <c r="E31" s="130">
        <v>43831</v>
      </c>
      <c r="F31" s="104"/>
      <c r="G31" s="104"/>
    </row>
    <row r="32" spans="1:7" x14ac:dyDescent="0.25">
      <c r="A32" s="131" t="s">
        <v>27</v>
      </c>
      <c r="B32" s="395" t="s">
        <v>28</v>
      </c>
      <c r="C32" s="395"/>
      <c r="D32" s="395"/>
      <c r="E32" s="396"/>
      <c r="F32" s="104"/>
      <c r="G32" s="104"/>
    </row>
    <row r="33" spans="1:7" x14ac:dyDescent="0.25">
      <c r="A33" s="397" t="s">
        <v>29</v>
      </c>
      <c r="B33" s="397"/>
      <c r="C33" s="397" t="s">
        <v>30</v>
      </c>
      <c r="D33" s="397"/>
      <c r="E33" s="397"/>
      <c r="F33" s="104"/>
      <c r="G33" s="104"/>
    </row>
    <row r="34" spans="1:7" x14ac:dyDescent="0.25">
      <c r="A34" s="132">
        <v>1</v>
      </c>
      <c r="B34" s="398" t="s">
        <v>35</v>
      </c>
      <c r="C34" s="398"/>
      <c r="D34" s="398"/>
      <c r="E34" s="132" t="s">
        <v>41</v>
      </c>
      <c r="F34" s="104"/>
      <c r="G34" s="104"/>
    </row>
    <row r="35" spans="1:7" x14ac:dyDescent="0.25">
      <c r="A35" s="133" t="s">
        <v>3</v>
      </c>
      <c r="B35" s="406" t="s">
        <v>36</v>
      </c>
      <c r="C35" s="406"/>
      <c r="D35" s="406"/>
      <c r="E35" s="134">
        <v>1869</v>
      </c>
      <c r="F35" s="104"/>
      <c r="G35" s="104"/>
    </row>
    <row r="36" spans="1:7" x14ac:dyDescent="0.25">
      <c r="A36" s="133" t="s">
        <v>4</v>
      </c>
      <c r="B36" s="406" t="s">
        <v>38</v>
      </c>
      <c r="C36" s="406"/>
      <c r="D36" s="406"/>
      <c r="E36" s="135">
        <v>0</v>
      </c>
      <c r="F36" s="104"/>
      <c r="G36" s="104"/>
    </row>
    <row r="37" spans="1:7" x14ac:dyDescent="0.25">
      <c r="A37" s="407" t="s">
        <v>5</v>
      </c>
      <c r="B37" s="409" t="s">
        <v>37</v>
      </c>
      <c r="C37" s="136" t="s">
        <v>147</v>
      </c>
      <c r="D37" s="137">
        <v>1869</v>
      </c>
      <c r="E37" s="411">
        <f>D37*D38</f>
        <v>0</v>
      </c>
      <c r="F37" s="104"/>
      <c r="G37" s="104"/>
    </row>
    <row r="38" spans="1:7" x14ac:dyDescent="0.25">
      <c r="A38" s="408"/>
      <c r="B38" s="410"/>
      <c r="C38" s="138" t="s">
        <v>148</v>
      </c>
      <c r="D38" s="139">
        <v>0</v>
      </c>
      <c r="E38" s="412"/>
      <c r="F38" s="104"/>
      <c r="G38" s="104"/>
    </row>
    <row r="39" spans="1:7" x14ac:dyDescent="0.25">
      <c r="A39" s="398" t="s">
        <v>40</v>
      </c>
      <c r="B39" s="398"/>
      <c r="C39" s="398"/>
      <c r="D39" s="398"/>
      <c r="E39" s="140">
        <f>SUM(E35:E38)</f>
        <v>1869</v>
      </c>
      <c r="F39" s="104"/>
      <c r="G39" s="104"/>
    </row>
    <row r="40" spans="1:7" x14ac:dyDescent="0.25">
      <c r="A40" s="397" t="s">
        <v>42</v>
      </c>
      <c r="B40" s="397"/>
      <c r="C40" s="397" t="s">
        <v>43</v>
      </c>
      <c r="D40" s="397"/>
      <c r="E40" s="397"/>
      <c r="F40" s="104"/>
      <c r="G40" s="104"/>
    </row>
    <row r="41" spans="1:7" x14ac:dyDescent="0.25">
      <c r="A41" s="132">
        <v>2</v>
      </c>
      <c r="B41" s="398" t="s">
        <v>44</v>
      </c>
      <c r="C41" s="398"/>
      <c r="D41" s="398"/>
      <c r="E41" s="132"/>
      <c r="F41" s="104"/>
      <c r="G41" s="104"/>
    </row>
    <row r="42" spans="1:7" x14ac:dyDescent="0.25">
      <c r="A42" s="399" t="s">
        <v>3</v>
      </c>
      <c r="B42" s="402" t="s">
        <v>45</v>
      </c>
      <c r="C42" s="141" t="s">
        <v>131</v>
      </c>
      <c r="D42" s="142">
        <v>1869</v>
      </c>
      <c r="E42" s="405">
        <f>IF(D43&gt;0,(D43*D44-(D42*6%)),0)</f>
        <v>0</v>
      </c>
      <c r="F42" s="104"/>
      <c r="G42" s="104"/>
    </row>
    <row r="43" spans="1:7" x14ac:dyDescent="0.25">
      <c r="A43" s="400"/>
      <c r="B43" s="403"/>
      <c r="C43" s="141" t="s">
        <v>132</v>
      </c>
      <c r="D43" s="143">
        <v>0</v>
      </c>
      <c r="E43" s="405"/>
      <c r="F43" s="104"/>
      <c r="G43" s="104"/>
    </row>
    <row r="44" spans="1:7" x14ac:dyDescent="0.25">
      <c r="A44" s="401"/>
      <c r="B44" s="404"/>
      <c r="C44" s="141" t="s">
        <v>130</v>
      </c>
      <c r="D44" s="144">
        <v>0</v>
      </c>
      <c r="E44" s="405"/>
      <c r="F44" s="104"/>
      <c r="G44" s="104"/>
    </row>
    <row r="45" spans="1:7" x14ac:dyDescent="0.25">
      <c r="A45" s="399" t="s">
        <v>4</v>
      </c>
      <c r="B45" s="418" t="s">
        <v>46</v>
      </c>
      <c r="C45" s="141" t="s">
        <v>149</v>
      </c>
      <c r="D45" s="145">
        <v>7</v>
      </c>
      <c r="E45" s="421">
        <f>ROUND((D45*D46)-((D45*D46)*D47),2)</f>
        <v>143.22</v>
      </c>
      <c r="F45" s="104"/>
      <c r="G45" s="104"/>
    </row>
    <row r="46" spans="1:7" x14ac:dyDescent="0.25">
      <c r="A46" s="400"/>
      <c r="B46" s="419"/>
      <c r="C46" s="141" t="s">
        <v>150</v>
      </c>
      <c r="D46" s="146">
        <v>22</v>
      </c>
      <c r="E46" s="422"/>
      <c r="F46" s="104"/>
      <c r="G46" s="104"/>
    </row>
    <row r="47" spans="1:7" x14ac:dyDescent="0.25">
      <c r="A47" s="401"/>
      <c r="B47" s="420"/>
      <c r="C47" s="147" t="s">
        <v>133</v>
      </c>
      <c r="D47" s="148">
        <v>7.0000000000000007E-2</v>
      </c>
      <c r="E47" s="423"/>
      <c r="F47" s="104"/>
      <c r="G47" s="104"/>
    </row>
    <row r="48" spans="1:7" x14ac:dyDescent="0.25">
      <c r="A48" s="119" t="s">
        <v>5</v>
      </c>
      <c r="B48" s="424" t="s">
        <v>47</v>
      </c>
      <c r="C48" s="424"/>
      <c r="D48" s="424"/>
      <c r="E48" s="149">
        <v>0</v>
      </c>
      <c r="F48" s="104"/>
      <c r="G48" s="104"/>
    </row>
    <row r="49" spans="1:7" x14ac:dyDescent="0.25">
      <c r="A49" s="119" t="s">
        <v>6</v>
      </c>
      <c r="B49" s="424"/>
      <c r="C49" s="424"/>
      <c r="D49" s="424"/>
      <c r="E49" s="149"/>
      <c r="F49" s="104"/>
      <c r="G49" s="104"/>
    </row>
    <row r="50" spans="1:7" x14ac:dyDescent="0.25">
      <c r="A50" s="119" t="s">
        <v>31</v>
      </c>
      <c r="B50" s="424" t="s">
        <v>154</v>
      </c>
      <c r="C50" s="424"/>
      <c r="D50" s="424"/>
      <c r="E50" s="149">
        <v>0</v>
      </c>
      <c r="F50" s="104"/>
      <c r="G50" s="104"/>
    </row>
    <row r="51" spans="1:7" x14ac:dyDescent="0.25">
      <c r="A51" s="413" t="s">
        <v>32</v>
      </c>
      <c r="B51" s="414" t="s">
        <v>39</v>
      </c>
      <c r="C51" s="417"/>
      <c r="D51" s="417"/>
      <c r="E51" s="150"/>
      <c r="F51" s="104"/>
      <c r="G51" s="104"/>
    </row>
    <row r="52" spans="1:7" x14ac:dyDescent="0.25">
      <c r="A52" s="413"/>
      <c r="B52" s="415"/>
      <c r="C52" s="417"/>
      <c r="D52" s="417"/>
      <c r="E52" s="150"/>
      <c r="F52" s="104"/>
      <c r="G52" s="104"/>
    </row>
    <row r="53" spans="1:7" x14ac:dyDescent="0.25">
      <c r="A53" s="413"/>
      <c r="B53" s="416"/>
      <c r="C53" s="417"/>
      <c r="D53" s="417"/>
      <c r="E53" s="150"/>
      <c r="F53" s="104"/>
      <c r="G53" s="104"/>
    </row>
    <row r="54" spans="1:7" x14ac:dyDescent="0.25">
      <c r="A54" s="398" t="s">
        <v>48</v>
      </c>
      <c r="B54" s="398"/>
      <c r="C54" s="398"/>
      <c r="D54" s="398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30" t="s">
        <v>49</v>
      </c>
      <c r="C55" s="430"/>
      <c r="D55" s="430"/>
      <c r="E55" s="431"/>
      <c r="F55" s="104"/>
      <c r="G55" s="104"/>
    </row>
    <row r="56" spans="1:7" x14ac:dyDescent="0.25">
      <c r="A56" s="126"/>
      <c r="B56" s="390" t="s">
        <v>50</v>
      </c>
      <c r="C56" s="390"/>
      <c r="D56" s="390"/>
      <c r="E56" s="391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97" t="s">
        <v>51</v>
      </c>
      <c r="B58" s="397"/>
      <c r="C58" s="397" t="s">
        <v>52</v>
      </c>
      <c r="D58" s="397"/>
      <c r="E58" s="397"/>
      <c r="F58" s="104"/>
      <c r="G58" s="104"/>
    </row>
    <row r="59" spans="1:7" x14ac:dyDescent="0.25">
      <c r="A59" s="132">
        <v>3</v>
      </c>
      <c r="B59" s="398" t="s">
        <v>53</v>
      </c>
      <c r="C59" s="398"/>
      <c r="D59" s="398"/>
      <c r="E59" s="132" t="s">
        <v>41</v>
      </c>
      <c r="F59" s="104"/>
      <c r="G59" s="104"/>
    </row>
    <row r="60" spans="1:7" x14ac:dyDescent="0.25">
      <c r="A60" s="399" t="s">
        <v>3</v>
      </c>
      <c r="B60" s="432" t="s">
        <v>165</v>
      </c>
      <c r="C60" s="152" t="s">
        <v>167</v>
      </c>
      <c r="D60" s="152" t="s">
        <v>166</v>
      </c>
      <c r="E60" s="434">
        <f>(D17/C61)*D61</f>
        <v>975.83199999999999</v>
      </c>
      <c r="F60" s="104"/>
      <c r="G60" s="104"/>
    </row>
    <row r="61" spans="1:7" x14ac:dyDescent="0.25">
      <c r="A61" s="401"/>
      <c r="B61" s="433"/>
      <c r="C61" s="153">
        <v>3</v>
      </c>
      <c r="D61" s="154">
        <v>3.9</v>
      </c>
      <c r="E61" s="435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13" t="s">
        <v>5</v>
      </c>
      <c r="B63" s="425" t="s">
        <v>170</v>
      </c>
      <c r="C63" s="157" t="s">
        <v>171</v>
      </c>
      <c r="D63" s="152" t="s">
        <v>183</v>
      </c>
      <c r="E63" s="426">
        <f>D64/12</f>
        <v>583.33333333333337</v>
      </c>
      <c r="F63" s="104"/>
      <c r="G63" s="104"/>
    </row>
    <row r="64" spans="1:7" x14ac:dyDescent="0.25">
      <c r="A64" s="413"/>
      <c r="B64" s="425"/>
      <c r="C64" s="160">
        <v>100000</v>
      </c>
      <c r="D64" s="161">
        <f>C64*7%</f>
        <v>7000.0000000000009</v>
      </c>
      <c r="E64" s="427"/>
      <c r="F64" s="104"/>
      <c r="G64" s="104"/>
    </row>
    <row r="65" spans="1:7" x14ac:dyDescent="0.25">
      <c r="A65" s="399" t="s">
        <v>6</v>
      </c>
      <c r="B65" s="428" t="s">
        <v>172</v>
      </c>
      <c r="C65" s="162" t="s">
        <v>147</v>
      </c>
      <c r="D65" s="163" t="s">
        <v>68</v>
      </c>
      <c r="E65" s="426">
        <f>C66*D66</f>
        <v>487.916</v>
      </c>
      <c r="F65" s="104"/>
      <c r="G65" s="104"/>
    </row>
    <row r="66" spans="1:7" x14ac:dyDescent="0.25">
      <c r="A66" s="401"/>
      <c r="B66" s="429"/>
      <c r="C66" s="164">
        <f>E60</f>
        <v>975.83199999999999</v>
      </c>
      <c r="D66" s="165">
        <v>0.5</v>
      </c>
      <c r="E66" s="427"/>
      <c r="F66" s="105"/>
      <c r="G66" s="104"/>
    </row>
    <row r="67" spans="1:7" x14ac:dyDescent="0.25">
      <c r="A67" s="398" t="s">
        <v>55</v>
      </c>
      <c r="B67" s="398"/>
      <c r="C67" s="398"/>
      <c r="D67" s="398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395" t="s">
        <v>54</v>
      </c>
      <c r="C68" s="395"/>
      <c r="D68" s="395"/>
      <c r="E68" s="396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97" t="s">
        <v>56</v>
      </c>
      <c r="B70" s="397"/>
      <c r="C70" s="397" t="s">
        <v>57</v>
      </c>
      <c r="D70" s="397"/>
      <c r="E70" s="397"/>
      <c r="F70" s="104"/>
      <c r="G70" s="104"/>
    </row>
    <row r="71" spans="1:7" x14ac:dyDescent="0.25">
      <c r="A71" s="437" t="s">
        <v>58</v>
      </c>
      <c r="B71" s="438"/>
      <c r="C71" s="437" t="s">
        <v>59</v>
      </c>
      <c r="D71" s="439"/>
      <c r="E71" s="438"/>
      <c r="F71" s="104"/>
      <c r="G71" s="104"/>
    </row>
    <row r="72" spans="1:7" x14ac:dyDescent="0.25">
      <c r="A72" s="132" t="s">
        <v>60</v>
      </c>
      <c r="B72" s="398" t="s">
        <v>59</v>
      </c>
      <c r="C72" s="398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68" t="s">
        <v>61</v>
      </c>
      <c r="C73" s="368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68" t="s">
        <v>62</v>
      </c>
      <c r="C74" s="368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68" t="s">
        <v>63</v>
      </c>
      <c r="C75" s="368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36" t="s">
        <v>64</v>
      </c>
      <c r="C76" s="436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68" t="s">
        <v>65</v>
      </c>
      <c r="C77" s="368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440" t="s">
        <v>66</v>
      </c>
      <c r="C78" s="440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41" t="s">
        <v>143</v>
      </c>
      <c r="C79" s="441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440" t="s">
        <v>67</v>
      </c>
      <c r="C80" s="440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98" t="s">
        <v>77</v>
      </c>
      <c r="B81" s="398"/>
      <c r="C81" s="398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86" t="s">
        <v>69</v>
      </c>
      <c r="C82" s="386"/>
      <c r="D82" s="386"/>
      <c r="E82" s="387"/>
      <c r="F82" s="104"/>
      <c r="G82" s="104"/>
    </row>
    <row r="83" spans="1:7" x14ac:dyDescent="0.25">
      <c r="A83" s="174" t="s">
        <v>26</v>
      </c>
      <c r="B83" s="390" t="s">
        <v>70</v>
      </c>
      <c r="C83" s="390"/>
      <c r="D83" s="390"/>
      <c r="E83" s="391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37" t="s">
        <v>71</v>
      </c>
      <c r="B85" s="438"/>
      <c r="C85" s="437" t="s">
        <v>72</v>
      </c>
      <c r="D85" s="439"/>
      <c r="E85" s="438"/>
      <c r="F85" s="104"/>
      <c r="G85" s="104"/>
    </row>
    <row r="86" spans="1:7" x14ac:dyDescent="0.25">
      <c r="A86" s="132" t="s">
        <v>78</v>
      </c>
      <c r="B86" s="398" t="s">
        <v>72</v>
      </c>
      <c r="C86" s="398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68" t="s">
        <v>73</v>
      </c>
      <c r="C87" s="368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68" t="s">
        <v>74</v>
      </c>
      <c r="C88" s="368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5" t="s">
        <v>75</v>
      </c>
      <c r="B89" s="376"/>
      <c r="C89" s="377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99" t="s">
        <v>5</v>
      </c>
      <c r="B90" s="443" t="s">
        <v>76</v>
      </c>
      <c r="C90" s="444"/>
      <c r="D90" s="447">
        <f>ROUND((E90*D89)/E89,4)</f>
        <v>3.44E-2</v>
      </c>
      <c r="E90" s="449">
        <f>ROUND(E89*D81,2)</f>
        <v>64.38</v>
      </c>
      <c r="F90" s="104"/>
      <c r="G90" s="104"/>
    </row>
    <row r="91" spans="1:7" x14ac:dyDescent="0.25">
      <c r="A91" s="401"/>
      <c r="B91" s="445"/>
      <c r="C91" s="446"/>
      <c r="D91" s="448"/>
      <c r="E91" s="450"/>
      <c r="F91" s="104"/>
      <c r="G91" s="104"/>
    </row>
    <row r="92" spans="1:7" x14ac:dyDescent="0.25">
      <c r="A92" s="398" t="s">
        <v>77</v>
      </c>
      <c r="B92" s="398"/>
      <c r="C92" s="398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37" t="s">
        <v>79</v>
      </c>
      <c r="B94" s="438"/>
      <c r="C94" s="437" t="s">
        <v>81</v>
      </c>
      <c r="D94" s="439"/>
      <c r="E94" s="438"/>
      <c r="F94" s="442" t="s">
        <v>81</v>
      </c>
      <c r="G94" s="442"/>
    </row>
    <row r="95" spans="1:7" x14ac:dyDescent="0.25">
      <c r="A95" s="132" t="s">
        <v>80</v>
      </c>
      <c r="B95" s="398" t="s">
        <v>81</v>
      </c>
      <c r="C95" s="398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68" t="s">
        <v>81</v>
      </c>
      <c r="C96" s="368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99" t="s">
        <v>4</v>
      </c>
      <c r="B97" s="443" t="s">
        <v>82</v>
      </c>
      <c r="C97" s="444"/>
      <c r="D97" s="447">
        <f>IF(G95="S",(ROUND((E97*D96)/E96,4)),0)</f>
        <v>0</v>
      </c>
      <c r="E97" s="449">
        <f>ROUND(D81*E96,2)</f>
        <v>0</v>
      </c>
      <c r="F97" s="104"/>
      <c r="G97" s="104"/>
    </row>
    <row r="98" spans="1:7" x14ac:dyDescent="0.25">
      <c r="A98" s="401"/>
      <c r="B98" s="445"/>
      <c r="C98" s="446"/>
      <c r="D98" s="448"/>
      <c r="E98" s="450"/>
      <c r="F98" s="104"/>
      <c r="G98" s="104"/>
    </row>
    <row r="99" spans="1:7" x14ac:dyDescent="0.25">
      <c r="A99" s="398" t="s">
        <v>77</v>
      </c>
      <c r="B99" s="398"/>
      <c r="C99" s="398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37" t="s">
        <v>83</v>
      </c>
      <c r="B101" s="438"/>
      <c r="C101" s="437" t="s">
        <v>85</v>
      </c>
      <c r="D101" s="439"/>
      <c r="E101" s="438"/>
      <c r="F101" s="104"/>
      <c r="G101" s="104"/>
    </row>
    <row r="102" spans="1:7" x14ac:dyDescent="0.25">
      <c r="A102" s="132" t="s">
        <v>84</v>
      </c>
      <c r="B102" s="398" t="s">
        <v>85</v>
      </c>
      <c r="C102" s="398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68" t="s">
        <v>91</v>
      </c>
      <c r="C103" s="368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51" t="s">
        <v>144</v>
      </c>
      <c r="C104" s="452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68" t="s">
        <v>92</v>
      </c>
      <c r="C105" s="368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68" t="s">
        <v>93</v>
      </c>
      <c r="C106" s="368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51" t="s">
        <v>94</v>
      </c>
      <c r="C107" s="452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53" t="s">
        <v>146</v>
      </c>
      <c r="C108" s="454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98" t="s">
        <v>77</v>
      </c>
      <c r="B109" s="398"/>
      <c r="C109" s="398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37" t="s">
        <v>95</v>
      </c>
      <c r="B111" s="438"/>
      <c r="C111" s="437" t="s">
        <v>97</v>
      </c>
      <c r="D111" s="439"/>
      <c r="E111" s="438"/>
      <c r="F111" s="442" t="s">
        <v>88</v>
      </c>
      <c r="G111" s="442"/>
    </row>
    <row r="112" spans="1:7" x14ac:dyDescent="0.25">
      <c r="A112" s="185" t="s">
        <v>96</v>
      </c>
      <c r="B112" s="460" t="s">
        <v>98</v>
      </c>
      <c r="C112" s="461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68" t="s">
        <v>86</v>
      </c>
      <c r="C113" s="368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62" t="s">
        <v>87</v>
      </c>
      <c r="C114" s="463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68" t="s">
        <v>88</v>
      </c>
      <c r="C115" s="368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68" t="s">
        <v>89</v>
      </c>
      <c r="C116" s="368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69" t="s">
        <v>90</v>
      </c>
      <c r="C117" s="455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99" t="s">
        <v>32</v>
      </c>
      <c r="B118" s="456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401"/>
      <c r="B119" s="456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57" t="s">
        <v>75</v>
      </c>
      <c r="B120" s="458"/>
      <c r="C120" s="459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51" t="s">
        <v>99</v>
      </c>
      <c r="C121" s="452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98" t="s">
        <v>77</v>
      </c>
      <c r="B122" s="398"/>
      <c r="C122" s="398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37" t="s">
        <v>100</v>
      </c>
      <c r="B124" s="438"/>
      <c r="C124" s="437" t="s">
        <v>101</v>
      </c>
      <c r="D124" s="439"/>
      <c r="E124" s="438"/>
      <c r="F124" s="104"/>
      <c r="G124" s="104"/>
    </row>
    <row r="125" spans="1:7" x14ac:dyDescent="0.25">
      <c r="A125" s="185">
        <v>4</v>
      </c>
      <c r="B125" s="460" t="s">
        <v>102</v>
      </c>
      <c r="C125" s="461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68" t="s">
        <v>59</v>
      </c>
      <c r="C126" s="368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62" t="s">
        <v>72</v>
      </c>
      <c r="C127" s="463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68" t="s">
        <v>81</v>
      </c>
      <c r="C128" s="368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68" t="s">
        <v>85</v>
      </c>
      <c r="C129" s="368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69" t="s">
        <v>104</v>
      </c>
      <c r="C130" s="455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99" t="s">
        <v>103</v>
      </c>
      <c r="B131" s="456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401"/>
      <c r="B132" s="456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98" t="s">
        <v>77</v>
      </c>
      <c r="B133" s="398"/>
      <c r="C133" s="398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97" t="s">
        <v>105</v>
      </c>
      <c r="B135" s="397"/>
      <c r="C135" s="397" t="s">
        <v>106</v>
      </c>
      <c r="D135" s="397"/>
      <c r="E135" s="397"/>
      <c r="F135" s="104"/>
      <c r="G135" s="104"/>
    </row>
    <row r="136" spans="1:7" x14ac:dyDescent="0.25">
      <c r="A136" s="132">
        <v>5</v>
      </c>
      <c r="B136" s="398" t="s">
        <v>107</v>
      </c>
      <c r="C136" s="398"/>
      <c r="D136" s="132" t="s">
        <v>68</v>
      </c>
      <c r="E136" s="132" t="s">
        <v>41</v>
      </c>
      <c r="F136" s="104"/>
      <c r="G136" s="104"/>
    </row>
    <row r="137" spans="1:7" x14ac:dyDescent="0.25">
      <c r="A137" s="399" t="s">
        <v>3</v>
      </c>
      <c r="B137" s="464" t="s">
        <v>151</v>
      </c>
      <c r="C137" s="465"/>
      <c r="D137" s="466"/>
      <c r="E137" s="198">
        <f>E39+E54+E67+E133</f>
        <v>5399.2146666666667</v>
      </c>
      <c r="F137" s="104"/>
      <c r="G137" s="104"/>
    </row>
    <row r="138" spans="1:7" x14ac:dyDescent="0.25">
      <c r="A138" s="401"/>
      <c r="B138" s="368" t="s">
        <v>108</v>
      </c>
      <c r="C138" s="368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467" t="s">
        <v>4</v>
      </c>
      <c r="B139" s="470" t="s">
        <v>109</v>
      </c>
      <c r="C139" s="471"/>
      <c r="D139" s="471"/>
      <c r="E139" s="472"/>
      <c r="F139" s="104"/>
      <c r="G139" s="104"/>
    </row>
    <row r="140" spans="1:7" x14ac:dyDescent="0.25">
      <c r="A140" s="468"/>
      <c r="B140" s="473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468"/>
      <c r="B141" s="474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468"/>
      <c r="B142" s="474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468"/>
      <c r="B143" s="475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468"/>
      <c r="B144" s="456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468"/>
      <c r="B145" s="456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468"/>
      <c r="B146" s="476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468"/>
      <c r="B147" s="476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468"/>
      <c r="B148" s="477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468"/>
      <c r="B149" s="478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469"/>
      <c r="B150" s="479" t="s">
        <v>145</v>
      </c>
      <c r="C150" s="480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99" t="s">
        <v>5</v>
      </c>
      <c r="B151" s="464" t="s">
        <v>152</v>
      </c>
      <c r="C151" s="465"/>
      <c r="D151" s="466"/>
      <c r="E151" s="198">
        <f>E39+E54+E67+E133+E138</f>
        <v>5717.7683319999996</v>
      </c>
      <c r="F151" s="104"/>
      <c r="G151" s="104"/>
    </row>
    <row r="152" spans="1:7" x14ac:dyDescent="0.25">
      <c r="A152" s="401"/>
      <c r="B152" s="440" t="s">
        <v>118</v>
      </c>
      <c r="C152" s="440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98" t="s">
        <v>77</v>
      </c>
      <c r="B153" s="398"/>
      <c r="C153" s="398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86" t="s">
        <v>119</v>
      </c>
      <c r="C154" s="386"/>
      <c r="D154" s="386"/>
      <c r="E154" s="387"/>
      <c r="F154" s="104"/>
      <c r="G154" s="104"/>
    </row>
    <row r="155" spans="1:7" x14ac:dyDescent="0.25">
      <c r="A155" s="174" t="s">
        <v>26</v>
      </c>
      <c r="B155" s="390" t="s">
        <v>120</v>
      </c>
      <c r="C155" s="390"/>
      <c r="D155" s="390"/>
      <c r="E155" s="391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74" t="s">
        <v>178</v>
      </c>
      <c r="B157" s="374"/>
      <c r="C157" s="374"/>
      <c r="D157" s="374"/>
      <c r="E157" s="374"/>
      <c r="F157" s="104"/>
      <c r="G157" s="104"/>
    </row>
    <row r="158" spans="1:7" x14ac:dyDescent="0.25">
      <c r="A158" s="397" t="s">
        <v>121</v>
      </c>
      <c r="B158" s="397"/>
      <c r="C158" s="397"/>
      <c r="D158" s="397"/>
      <c r="E158" s="397"/>
      <c r="F158" s="104"/>
      <c r="G158" s="104"/>
    </row>
    <row r="159" spans="1:7" x14ac:dyDescent="0.25">
      <c r="A159" s="392" t="s">
        <v>122</v>
      </c>
      <c r="B159" s="392"/>
      <c r="C159" s="392"/>
      <c r="D159" s="392"/>
      <c r="E159" s="123" t="s">
        <v>129</v>
      </c>
      <c r="F159" s="104"/>
      <c r="G159" s="104"/>
    </row>
    <row r="160" spans="1:7" x14ac:dyDescent="0.25">
      <c r="A160" s="119" t="s">
        <v>3</v>
      </c>
      <c r="B160" s="368" t="s">
        <v>125</v>
      </c>
      <c r="C160" s="368"/>
      <c r="D160" s="368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68" t="s">
        <v>126</v>
      </c>
      <c r="C161" s="368"/>
      <c r="D161" s="368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68" t="s">
        <v>127</v>
      </c>
      <c r="C162" s="368"/>
      <c r="D162" s="368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68" t="s">
        <v>102</v>
      </c>
      <c r="C163" s="368"/>
      <c r="D163" s="368"/>
      <c r="E163" s="206">
        <f>E133</f>
        <v>1256.58</v>
      </c>
      <c r="F163" s="104"/>
      <c r="G163" s="104"/>
    </row>
    <row r="164" spans="1:7" x14ac:dyDescent="0.25">
      <c r="A164" s="398" t="s">
        <v>123</v>
      </c>
      <c r="B164" s="398"/>
      <c r="C164" s="398"/>
      <c r="D164" s="398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69" t="s">
        <v>128</v>
      </c>
      <c r="C165" s="370"/>
      <c r="D165" s="455"/>
      <c r="E165" s="206">
        <f>E153</f>
        <v>2263.7741649333329</v>
      </c>
      <c r="F165" s="104"/>
      <c r="G165" s="104"/>
    </row>
    <row r="166" spans="1:7" x14ac:dyDescent="0.25">
      <c r="A166" s="375" t="s">
        <v>124</v>
      </c>
      <c r="B166" s="376"/>
      <c r="C166" s="376"/>
      <c r="D166" s="376"/>
      <c r="E166" s="207">
        <f>E164+E165</f>
        <v>7662.9888315999997</v>
      </c>
      <c r="F166" s="110"/>
      <c r="G166" s="104"/>
    </row>
    <row r="167" spans="1:7" x14ac:dyDescent="0.25">
      <c r="A167" s="375" t="s">
        <v>175</v>
      </c>
      <c r="B167" s="376"/>
      <c r="C167" s="376"/>
      <c r="D167" s="376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481" t="s">
        <v>159</v>
      </c>
      <c r="C169" s="481"/>
      <c r="D169" s="481"/>
      <c r="E169" s="481"/>
      <c r="F169" s="104"/>
      <c r="G169" s="104"/>
    </row>
    <row r="170" spans="1:7" x14ac:dyDescent="0.25">
      <c r="A170" s="127"/>
      <c r="B170" s="482" t="s">
        <v>155</v>
      </c>
      <c r="C170" s="482"/>
      <c r="D170" s="483" t="s">
        <v>160</v>
      </c>
      <c r="E170" s="483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484">
        <v>120000</v>
      </c>
      <c r="E171" s="484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485" t="s">
        <v>176</v>
      </c>
      <c r="E172" s="486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487"/>
      <c r="E173" s="488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2022-01-11T12:32:59Z</cp:lastPrinted>
  <dcterms:created xsi:type="dcterms:W3CDTF">2011-03-21T16:34:02Z</dcterms:created>
  <dcterms:modified xsi:type="dcterms:W3CDTF">2022-01-11T12:33:29Z</dcterms:modified>
</cp:coreProperties>
</file>