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D74" i="8" l="1"/>
  <c r="E73" i="8" s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<sst xmlns="http://schemas.openxmlformats.org/spreadsheetml/2006/main" count="582" uniqueCount="211">
  <si>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</si>
  <si>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</si>
  <si>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</si>
  <si>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</si>
  <si>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</si>
  <si>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</si>
  <si>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</si>
  <si>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</si>
  <si>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</si>
  <si>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</si>
  <si>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</si>
  <si>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</si>
  <si>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</si>
  <si>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</si>
  <si>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</si>
  <si>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</si>
  <si>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</si>
  <si>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</si>
  <si>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</si>
  <si>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</si>
  <si>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</si>
  <si>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</si>
  <si>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</si>
  <si>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</si>
  <si>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</si>
  <si>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</si>
  <si>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</si>
  <si>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</si>
  <si>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</si>
  <si>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</si>
  <si>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</si>
  <si>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</si>
  <si>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</si>
  <si>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</si>
  <si>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</si>
  <si>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</si>
  <si>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</si>
  <si>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</si>
  <si>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</si>
  <si>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</si>
  <si>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</si>
  <si>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</si>
  <si>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</si>
  <si>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</si>
  <si>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</si>
  <si>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</si>
  <si>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</si>
  <si>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</si>
  <si>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</si>
  <si>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</si>
  <si>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</si>
  <si>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</si>
  <si>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</si>
  <si>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</si>
  <si>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</si>
  <si>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</si>
  <si>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</si>
  <si>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</si>
  <si>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</si>
  <si>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</si>
  <si>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</si>
  <si>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</si>
  <si>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</si>
  <si>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</si>
  <si>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</si>
  <si>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</si>
  <si>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</si>
  <si>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</si>
  <si>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</si>
  <si>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</si>
  <si>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</si>
  <si>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</si>
  <si>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</si>
  <si>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</si>
  <si>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</si>
  <si>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</si>
  <si>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</si>
  <si>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</si>
  <si>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</si>
  <si>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</si>
  <si>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</si>
  <si>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</si>
  <si>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</si>
  <si>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</si>
  <si>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</si>
  <si>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</si>
  <si>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</si>
  <si>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</si>
  <si>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</si>
  <si>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</si>
  <si>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</si>
  <si>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</si>
  <si>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</si>
  <si>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</si>
  <si>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</si>
  <si>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</si>
  <si>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</si>
  <si>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</si>
  <si>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</si>
  <si>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</si>
  <si>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</si>
  <si>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</si>
  <si>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</si>
  <si>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</si>
  <si>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</si>
  <si>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</si>
  <si>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</si>
  <si>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</si>
  <si>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</si>
  <si>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</si>
  <si>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</si>
  <si>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</si>
  <si>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</si>
  <si>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</si>
  <si>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</si>
  <si>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</si>
  <si>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</si>
  <si>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</si>
  <si>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</si>
  <si>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</si>
  <si>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</si>
  <si>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</si>
  <si>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</si>
  <si>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</si>
  <si>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</si>
  <si>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</si>
  <si>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</si>
  <si>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</si>
  <si>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</si>
  <si>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</si>
  <si>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</si>
  <si>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</si>
  <si>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</si>
  <si>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</si>
  <si>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</si>
  <si>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</si>
  <si>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</si>
  <si>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</si>
  <si>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</si>
  <si>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</si>
  <si>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</si>
  <si>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</si>
  <si>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</si>
  <si>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</si>
  <si>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</si>
  <si>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</si>
  <si>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</si>
  <si>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</si>
  <si>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</si>
  <si>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</si>
  <si>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</si>
  <si>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</si>
  <si>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</si>
  <si>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</si>
  <si>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</si>
  <si>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</si>
  <si>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</si>
  <si>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</si>
  <si>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</si>
  <si>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</si>
  <si>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</si>
  <si>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</si>
  <si>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</si>
  <si>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</si>
  <si>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</si>
  <si>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</si>
  <si>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</si>
  <si>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</si>
  <si>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</si>
  <si>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</si>
  <si>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</si>
  <si>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</si>
  <si>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</si>
  <si>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</si>
  <si>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</si>
  <si>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</si>
  <si>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</si>
  <si>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</si>
  <si>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</si>
  <si>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</si>
  <si>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</si>
  <si>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</si>
  <si>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</si>
  <si>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</si>
  <si>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</si>
  <si>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</si>
  <si>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</si>
  <si>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</si>
  <si>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</si>
  <si>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</si>
  <si>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</si>
  <si>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</si>
  <si>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</si>
  <si>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</si>
  <si>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</si>
  <si>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</si>
  <si>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</si>
  <si>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</si>
  <si>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</si>
  <si>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</si>
  <si>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</si>
  <si>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</si>
  <si>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</si>
  <si>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</si>
  <si>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</si>
  <si>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</si>
  <si>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</si>
  <si>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</si>
  <si>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Planilha de Custos e Formação de Preços - Trajeto  São Simão/Beco Colodianos/Paulo Medeiros</t>
  </si>
  <si>
    <t>CCT 2021</t>
  </si>
  <si>
    <t>BASE MÊS JULHO 2021 - 22 DIAS ÚTEIS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</si>
</sst>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4" fillId="0" borderId="0" xfId="0" applyNumberFormat="1" applyFont="1" applyBorder="1" applyAlignment="1" applyProtection="1">
      <alignment horizontal="right"/>
      <protection locked="0"/>
    </xf>
    <xf numFmtId="168" fontId="14" fillId="0" borderId="0" xfId="0" applyNumberFormat="1" applyFont="1" applyBorder="1" applyProtection="1">
      <protection locked="0"/>
    </xf>
    <xf numFmtId="0" fontId="16" fillId="0" borderId="1" xfId="0" applyFont="1" applyBorder="1" applyAlignment="1" applyProtection="1">
      <protection locked="0"/>
    </xf>
    <xf numFmtId="0" fontId="14" fillId="0" borderId="1" xfId="0" applyFont="1" applyBorder="1" applyAlignment="1" applyProtection="1">
      <alignment horizontal="center"/>
      <protection locked="0"/>
    </xf>
    <xf numFmtId="9" fontId="17" fillId="0" borderId="1" xfId="0" applyNumberFormat="1" applyFont="1" applyBorder="1" applyAlignment="1" applyProtection="1">
      <protection locked="0"/>
    </xf>
    <xf numFmtId="10" fontId="14" fillId="0" borderId="1" xfId="0" applyNumberFormat="1" applyFont="1" applyBorder="1" applyAlignment="1" applyProtection="1">
      <alignment horizontal="right"/>
      <protection locked="0"/>
    </xf>
    <xf numFmtId="164" fontId="17" fillId="0" borderId="1" xfId="0" applyNumberFormat="1" applyFont="1" applyBorder="1" applyAlignment="1" applyProtection="1">
      <alignment horizontal="distributed" vertical="center"/>
      <protection locked="0"/>
    </xf>
    <xf numFmtId="10" fontId="18" fillId="0" borderId="1" xfId="2" applyNumberFormat="1" applyFont="1" applyBorder="1" applyAlignment="1" applyProtection="1">
      <alignment horizontal="center" vertical="center"/>
      <protection locked="0"/>
    </xf>
    <xf numFmtId="10" fontId="18" fillId="0" borderId="1" xfId="2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0" fontId="18" fillId="0" borderId="1" xfId="2" applyNumberFormat="1" applyFont="1" applyFill="1" applyBorder="1" applyAlignment="1" applyProtection="1">
      <alignment horizontal="center" vertical="center"/>
      <protection locked="0"/>
    </xf>
    <xf numFmtId="10" fontId="18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4" fillId="0" borderId="1" xfId="0" applyNumberFormat="1" applyFont="1" applyBorder="1" applyAlignment="1" applyProtection="1">
      <alignment horizontal="right" vertical="center"/>
      <protection locked="0"/>
    </xf>
    <xf numFmtId="1" fontId="14" fillId="0" borderId="1" xfId="0" applyNumberFormat="1" applyFont="1" applyBorder="1" applyAlignment="1" applyProtection="1">
      <alignment vertical="center"/>
      <protection locked="0"/>
    </xf>
    <xf numFmtId="169" fontId="14" fillId="0" borderId="1" xfId="3" applyNumberFormat="1" applyFont="1" applyBorder="1" applyAlignment="1" applyProtection="1">
      <alignment horizontal="distributed"/>
      <protection locked="0"/>
    </xf>
    <xf numFmtId="164" fontId="20" fillId="0" borderId="1" xfId="0" applyNumberFormat="1" applyFont="1" applyFill="1" applyBorder="1" applyAlignment="1" applyProtection="1">
      <alignment horizontal="distributed" vertical="distributed" justifyLastLine="1"/>
    </xf>
    <xf numFmtId="164" fontId="14" fillId="0" borderId="1" xfId="0" applyNumberFormat="1" applyFont="1" applyFill="1" applyBorder="1" applyAlignment="1" applyProtection="1">
      <alignment horizontal="distributed" vertical="center"/>
    </xf>
    <xf numFmtId="164" fontId="21" fillId="0" borderId="1" xfId="0" applyNumberFormat="1" applyFont="1" applyFill="1" applyBorder="1" applyAlignment="1" applyProtection="1">
      <alignment horizontal="distributed" vertical="center"/>
    </xf>
    <xf numFmtId="164" fontId="18" fillId="0" borderId="1" xfId="0" applyNumberFormat="1" applyFont="1" applyFill="1" applyBorder="1" applyAlignment="1" applyProtection="1">
      <alignment horizontal="distributed" vertical="center"/>
    </xf>
    <xf numFmtId="170" fontId="18" fillId="0" borderId="1" xfId="2" applyNumberFormat="1" applyFont="1" applyBorder="1" applyAlignment="1" applyProtection="1">
      <alignment horizontal="center"/>
      <protection locked="0"/>
    </xf>
    <xf numFmtId="17" fontId="14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8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4" fillId="0" borderId="1" xfId="0" applyNumberFormat="1" applyFont="1" applyBorder="1" applyAlignment="1" applyProtection="1">
      <alignment horizontal="distributed"/>
      <protection locked="0"/>
    </xf>
    <xf numFmtId="10" fontId="15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1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5" fillId="0" borderId="1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protection locked="0"/>
    </xf>
    <xf numFmtId="167" fontId="14" fillId="0" borderId="1" xfId="0" applyNumberFormat="1" applyFont="1" applyFill="1" applyBorder="1" applyAlignment="1" applyProtection="1">
      <alignment horizontal="distributed"/>
      <protection locked="0"/>
    </xf>
    <xf numFmtId="167" fontId="17" fillId="5" borderId="1" xfId="0" applyNumberFormat="1" applyFont="1" applyFill="1" applyBorder="1" applyAlignment="1" applyProtection="1">
      <alignment horizontal="distributed" vertical="justify" justifyLastLine="1"/>
    </xf>
    <xf numFmtId="164" fontId="14" fillId="0" borderId="1" xfId="0" applyNumberFormat="1" applyFont="1" applyFill="1" applyBorder="1" applyAlignment="1" applyProtection="1">
      <alignment horizontal="distributed" vertical="center"/>
      <protection locked="0"/>
    </xf>
    <xf numFmtId="164" fontId="20" fillId="0" borderId="6" xfId="0" applyNumberFormat="1" applyFont="1" applyBorder="1" applyAlignment="1" applyProtection="1">
      <alignment horizontal="distributed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3" fillId="3" borderId="1" xfId="1" applyFont="1" applyFill="1" applyBorder="1" applyAlignment="1" applyProtection="1">
      <alignment horizontal="justify" vertical="center"/>
    </xf>
    <xf numFmtId="165" fontId="13" fillId="0" borderId="1" xfId="1" applyFont="1" applyBorder="1" applyAlignment="1" applyProtection="1">
      <protection locked="0"/>
    </xf>
    <xf numFmtId="0" fontId="15" fillId="6" borderId="1" xfId="0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/>
    </xf>
    <xf numFmtId="0" fontId="15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5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8" fillId="5" borderId="1" xfId="2" applyNumberFormat="1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right"/>
      <protection locked="0"/>
    </xf>
    <xf numFmtId="165" fontId="14" fillId="8" borderId="1" xfId="3" applyNumberFormat="1" applyFont="1" applyFill="1" applyBorder="1" applyAlignment="1" applyProtection="1">
      <alignment horizontal="right"/>
      <protection locked="0"/>
    </xf>
    <xf numFmtId="14" fontId="14" fillId="8" borderId="1" xfId="0" applyNumberFormat="1" applyFont="1" applyFill="1" applyBorder="1" applyAlignment="1" applyProtection="1">
      <alignment horizontal="right"/>
      <protection locked="0"/>
    </xf>
    <xf numFmtId="164" fontId="17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19" fillId="8" borderId="1" xfId="0" applyNumberFormat="1" applyFont="1" applyFill="1" applyBorder="1" applyAlignment="1" applyProtection="1">
      <alignment horizontal="right"/>
      <protection locked="0"/>
    </xf>
    <xf numFmtId="2" fontId="14" fillId="8" borderId="1" xfId="0" applyNumberFormat="1" applyFont="1" applyFill="1" applyBorder="1" applyAlignment="1" applyProtection="1">
      <alignment horizontal="center"/>
    </xf>
    <xf numFmtId="172" fontId="14" fillId="8" borderId="1" xfId="1" applyNumberFormat="1" applyFont="1" applyFill="1" applyBorder="1" applyAlignment="1" applyProtection="1">
      <alignment horizontal="center"/>
    </xf>
    <xf numFmtId="165" fontId="14" fillId="8" borderId="1" xfId="1" applyFont="1" applyFill="1" applyBorder="1" applyAlignment="1" applyProtection="1"/>
    <xf numFmtId="165" fontId="14" fillId="8" borderId="1" xfId="1" applyFont="1" applyFill="1" applyBorder="1" applyAlignment="1" applyProtection="1">
      <protection locked="0"/>
    </xf>
    <xf numFmtId="0" fontId="24" fillId="0" borderId="0" xfId="0" applyFont="1" applyProtection="1"/>
    <xf numFmtId="165" fontId="24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 applyProtection="1"/>
    <xf numFmtId="0" fontId="26" fillId="0" borderId="0" xfId="0" applyFont="1" applyProtection="1"/>
    <xf numFmtId="0" fontId="26" fillId="0" borderId="0" xfId="0" applyFont="1" applyAlignment="1" applyProtection="1">
      <alignment horizontal="right"/>
    </xf>
    <xf numFmtId="17" fontId="28" fillId="0" borderId="0" xfId="0" applyNumberFormat="1" applyFont="1" applyAlignment="1" applyProtection="1">
      <alignment horizontal="right"/>
      <protection locked="0"/>
    </xf>
    <xf numFmtId="14" fontId="28" fillId="0" borderId="0" xfId="0" applyNumberFormat="1" applyFont="1" applyBorder="1" applyAlignment="1" applyProtection="1">
      <alignment horizontal="right"/>
      <protection locked="0"/>
    </xf>
    <xf numFmtId="0" fontId="26" fillId="0" borderId="0" xfId="0" applyFont="1" applyAlignment="1" applyProtection="1">
      <alignment horizontal="center"/>
    </xf>
    <xf numFmtId="168" fontId="28" fillId="0" borderId="0" xfId="0" applyNumberFormat="1" applyFont="1" applyBorder="1" applyProtection="1">
      <protection locked="0"/>
    </xf>
    <xf numFmtId="0" fontId="29" fillId="0" borderId="1" xfId="0" applyFont="1" applyBorder="1" applyAlignment="1" applyProtection="1">
      <protection locked="0"/>
    </xf>
    <xf numFmtId="0" fontId="26" fillId="0" borderId="1" xfId="0" applyFont="1" applyBorder="1" applyAlignment="1" applyProtection="1">
      <alignment horizontal="right"/>
    </xf>
    <xf numFmtId="0" fontId="26" fillId="0" borderId="1" xfId="0" applyFont="1" applyBorder="1" applyAlignment="1" applyProtection="1">
      <alignment horizontal="center"/>
    </xf>
    <xf numFmtId="14" fontId="28" fillId="0" borderId="1" xfId="0" applyNumberFormat="1" applyFont="1" applyBorder="1" applyAlignment="1" applyProtection="1">
      <alignment horizontal="right" vertical="center"/>
      <protection locked="0"/>
    </xf>
    <xf numFmtId="1" fontId="31" fillId="8" borderId="1" xfId="0" applyNumberFormat="1" applyFont="1" applyFill="1" applyBorder="1" applyAlignment="1" applyProtection="1">
      <alignment horizontal="right"/>
      <protection locked="0"/>
    </xf>
    <xf numFmtId="1" fontId="28" fillId="0" borderId="1" xfId="0" applyNumberFormat="1" applyFont="1" applyBorder="1" applyAlignment="1" applyProtection="1">
      <alignment vertical="center"/>
      <protection locked="0"/>
    </xf>
    <xf numFmtId="0" fontId="30" fillId="0" borderId="1" xfId="0" applyFont="1" applyBorder="1" applyAlignment="1" applyProtection="1">
      <alignment horizontal="center"/>
    </xf>
    <xf numFmtId="0" fontId="32" fillId="0" borderId="1" xfId="0" applyFont="1" applyBorder="1" applyAlignment="1" applyProtection="1">
      <alignment horizontal="center"/>
    </xf>
    <xf numFmtId="0" fontId="26" fillId="0" borderId="2" xfId="0" applyFont="1" applyBorder="1" applyProtection="1"/>
    <xf numFmtId="0" fontId="30" fillId="0" borderId="3" xfId="0" applyFont="1" applyBorder="1" applyProtection="1"/>
    <xf numFmtId="0" fontId="30" fillId="0" borderId="0" xfId="0" applyFont="1" applyProtection="1"/>
    <xf numFmtId="0" fontId="28" fillId="8" borderId="1" xfId="0" applyFont="1" applyFill="1" applyBorder="1" applyAlignment="1" applyProtection="1">
      <alignment horizontal="right"/>
      <protection locked="0"/>
    </xf>
    <xf numFmtId="165" fontId="28" fillId="8" borderId="1" xfId="3" applyNumberFormat="1" applyFont="1" applyFill="1" applyBorder="1" applyAlignment="1" applyProtection="1">
      <alignment horizontal="right"/>
      <protection locked="0"/>
    </xf>
    <xf numFmtId="14" fontId="28" fillId="8" borderId="1" xfId="0" applyNumberFormat="1" applyFont="1" applyFill="1" applyBorder="1" applyAlignment="1" applyProtection="1">
      <alignment horizontal="right"/>
      <protection locked="0"/>
    </xf>
    <xf numFmtId="0" fontId="26" fillId="0" borderId="4" xfId="0" applyFont="1" applyBorder="1" applyProtection="1"/>
    <xf numFmtId="0" fontId="26" fillId="2" borderId="1" xfId="0" applyFont="1" applyFill="1" applyBorder="1" applyAlignment="1" applyProtection="1">
      <alignment horizontal="center"/>
    </xf>
    <xf numFmtId="0" fontId="35" fillId="0" borderId="1" xfId="0" applyFont="1" applyBorder="1" applyAlignment="1" applyProtection="1">
      <alignment horizontal="center"/>
    </xf>
    <xf numFmtId="165" fontId="36" fillId="0" borderId="1" xfId="0" applyNumberFormat="1" applyFont="1" applyBorder="1" applyAlignment="1" applyProtection="1">
      <alignment horizontal="distributed" vertical="distributed"/>
    </xf>
    <xf numFmtId="164" fontId="36" fillId="0" borderId="1" xfId="0" applyNumberFormat="1" applyFont="1" applyBorder="1" applyAlignment="1" applyProtection="1">
      <alignment horizontal="distributed" vertical="distributed"/>
    </xf>
    <xf numFmtId="0" fontId="36" fillId="0" borderId="1" xfId="0" applyFont="1" applyBorder="1" applyAlignment="1" applyProtection="1">
      <alignment horizontal="left"/>
    </xf>
    <xf numFmtId="167" fontId="37" fillId="5" borderId="1" xfId="0" applyNumberFormat="1" applyFont="1" applyFill="1" applyBorder="1" applyAlignment="1" applyProtection="1">
      <alignment horizontal="distributed" vertical="justify" justifyLastLine="1"/>
    </xf>
    <xf numFmtId="0" fontId="36" fillId="0" borderId="1" xfId="0" applyFont="1" applyBorder="1" applyAlignment="1" applyProtection="1"/>
    <xf numFmtId="9" fontId="37" fillId="0" borderId="1" xfId="0" applyNumberFormat="1" applyFont="1" applyBorder="1" applyAlignment="1" applyProtection="1">
      <protection locked="0"/>
    </xf>
    <xf numFmtId="164" fontId="26" fillId="2" borderId="1" xfId="0" applyNumberFormat="1" applyFont="1" applyFill="1" applyBorder="1" applyAlignment="1" applyProtection="1">
      <alignment horizontal="distributed" vertical="center"/>
    </xf>
    <xf numFmtId="0" fontId="30" fillId="0" borderId="1" xfId="0" applyFont="1" applyBorder="1" applyAlignment="1" applyProtection="1"/>
    <xf numFmtId="167" fontId="30" fillId="5" borderId="1" xfId="0" applyNumberFormat="1" applyFont="1" applyFill="1" applyBorder="1" applyAlignment="1" applyProtection="1">
      <alignment horizontal="distributed"/>
    </xf>
    <xf numFmtId="0" fontId="28" fillId="0" borderId="1" xfId="0" applyFont="1" applyFill="1" applyBorder="1" applyAlignment="1" applyProtection="1">
      <protection locked="0"/>
    </xf>
    <xf numFmtId="167" fontId="28" fillId="0" borderId="1" xfId="0" applyNumberFormat="1" applyFont="1" applyFill="1" applyBorder="1" applyAlignment="1" applyProtection="1">
      <alignment horizontal="distributed"/>
      <protection locked="0"/>
    </xf>
    <xf numFmtId="167" fontId="28" fillId="0" borderId="1" xfId="0" applyNumberFormat="1" applyFont="1" applyBorder="1" applyAlignment="1" applyProtection="1">
      <alignment horizontal="distributed"/>
      <protection locked="0"/>
    </xf>
    <xf numFmtId="169" fontId="28" fillId="0" borderId="1" xfId="3" applyNumberFormat="1" applyFont="1" applyBorder="1" applyAlignment="1" applyProtection="1">
      <alignment horizontal="distributed"/>
      <protection locked="0"/>
    </xf>
    <xf numFmtId="0" fontId="30" fillId="0" borderId="1" xfId="0" applyFont="1" applyBorder="1" applyAlignment="1" applyProtection="1">
      <alignment horizontal="left"/>
    </xf>
    <xf numFmtId="10" fontId="28" fillId="0" borderId="1" xfId="0" applyNumberFormat="1" applyFont="1" applyBorder="1" applyAlignment="1" applyProtection="1">
      <alignment horizontal="right"/>
      <protection locked="0"/>
    </xf>
    <xf numFmtId="164" fontId="37" fillId="8" borderId="1" xfId="0" applyNumberFormat="1" applyFont="1" applyFill="1" applyBorder="1" applyAlignment="1" applyProtection="1">
      <alignment horizontal="distributed" vertical="center"/>
      <protection locked="0"/>
    </xf>
    <xf numFmtId="164" fontId="37" fillId="0" borderId="1" xfId="0" applyNumberFormat="1" applyFont="1" applyBorder="1" applyAlignment="1" applyProtection="1">
      <alignment horizontal="distributed" vertical="center"/>
      <protection locked="0"/>
    </xf>
    <xf numFmtId="0" fontId="26" fillId="0" borderId="2" xfId="0" applyFont="1" applyFill="1" applyBorder="1" applyAlignment="1" applyProtection="1">
      <alignment horizontal="center"/>
    </xf>
    <xf numFmtId="0" fontId="33" fillId="6" borderId="1" xfId="0" applyFont="1" applyFill="1" applyBorder="1" applyAlignment="1" applyProtection="1">
      <alignment horizontal="center" vertical="center"/>
    </xf>
    <xf numFmtId="2" fontId="28" fillId="8" borderId="1" xfId="0" applyNumberFormat="1" applyFont="1" applyFill="1" applyBorder="1" applyAlignment="1" applyProtection="1">
      <alignment horizontal="center"/>
    </xf>
    <xf numFmtId="172" fontId="28" fillId="8" borderId="1" xfId="1" applyNumberFormat="1" applyFont="1" applyFill="1" applyBorder="1" applyAlignment="1" applyProtection="1">
      <alignment horizontal="center"/>
    </xf>
    <xf numFmtId="0" fontId="26" fillId="0" borderId="1" xfId="0" applyFont="1" applyBorder="1" applyAlignment="1" applyProtection="1">
      <alignment horizontal="center" vertical="center"/>
    </xf>
    <xf numFmtId="0" fontId="30" fillId="0" borderId="1" xfId="0" applyFont="1" applyBorder="1" applyAlignment="1" applyProtection="1">
      <alignment horizontal="center" vertical="center"/>
    </xf>
    <xf numFmtId="0" fontId="33" fillId="6" borderId="1" xfId="0" applyFont="1" applyFill="1" applyBorder="1" applyAlignment="1" applyProtection="1">
      <alignment horizontal="center"/>
    </xf>
    <xf numFmtId="165" fontId="28" fillId="8" borderId="1" xfId="1" applyFont="1" applyFill="1" applyBorder="1" applyAlignment="1" applyProtection="1"/>
    <xf numFmtId="165" fontId="30" fillId="3" borderId="1" xfId="1" applyFont="1" applyFill="1" applyBorder="1" applyAlignment="1" applyProtection="1">
      <alignment horizontal="justify" vertical="center"/>
    </xf>
    <xf numFmtId="165" fontId="28" fillId="8" borderId="1" xfId="1" applyFont="1" applyFill="1" applyBorder="1" applyAlignment="1" applyProtection="1">
      <protection locked="0"/>
    </xf>
    <xf numFmtId="165" fontId="30" fillId="0" borderId="1" xfId="1" applyFont="1" applyBorder="1" applyAlignment="1" applyProtection="1">
      <protection locked="0"/>
    </xf>
    <xf numFmtId="0" fontId="33" fillId="6" borderId="1" xfId="0" applyFont="1" applyFill="1" applyBorder="1" applyAlignment="1" applyProtection="1">
      <alignment horizontal="center"/>
      <protection locked="0"/>
    </xf>
    <xf numFmtId="9" fontId="33" fillId="6" borderId="1" xfId="0" applyNumberFormat="1" applyFont="1" applyFill="1" applyBorder="1" applyAlignment="1" applyProtection="1">
      <alignment horizontal="center"/>
      <protection locked="0"/>
    </xf>
    <xf numFmtId="165" fontId="30" fillId="0" borderId="1" xfId="0" applyNumberFormat="1" applyFont="1" applyBorder="1" applyAlignment="1" applyProtection="1">
      <protection locked="0"/>
    </xf>
    <xf numFmtId="9" fontId="30" fillId="8" borderId="1" xfId="0" applyNumberFormat="1" applyFont="1" applyFill="1" applyBorder="1" applyAlignment="1" applyProtection="1">
      <protection locked="0"/>
    </xf>
    <xf numFmtId="0" fontId="26" fillId="0" borderId="4" xfId="0" applyFont="1" applyFill="1" applyBorder="1" applyAlignment="1" applyProtection="1">
      <alignment horizontal="center"/>
    </xf>
    <xf numFmtId="10" fontId="38" fillId="0" borderId="1" xfId="2" applyNumberFormat="1" applyFont="1" applyBorder="1" applyAlignment="1" applyProtection="1">
      <alignment horizontal="center"/>
    </xf>
    <xf numFmtId="164" fontId="30" fillId="0" borderId="1" xfId="0" applyNumberFormat="1" applyFont="1" applyFill="1" applyBorder="1" applyAlignment="1" applyProtection="1">
      <alignment horizontal="distributed" vertical="center"/>
    </xf>
    <xf numFmtId="10" fontId="38" fillId="7" borderId="1" xfId="2" applyNumberFormat="1" applyFont="1" applyFill="1" applyBorder="1" applyAlignment="1" applyProtection="1">
      <alignment horizontal="center"/>
    </xf>
    <xf numFmtId="164" fontId="30" fillId="7" borderId="1" xfId="0" applyNumberFormat="1" applyFont="1" applyFill="1" applyBorder="1" applyAlignment="1" applyProtection="1">
      <alignment horizontal="distributed" vertical="center"/>
    </xf>
    <xf numFmtId="10" fontId="39" fillId="5" borderId="1" xfId="2" applyNumberFormat="1" applyFont="1" applyFill="1" applyBorder="1" applyAlignment="1" applyProtection="1">
      <alignment horizontal="center" vertical="center"/>
      <protection locked="0"/>
    </xf>
    <xf numFmtId="164" fontId="30" fillId="5" borderId="1" xfId="0" applyNumberFormat="1" applyFont="1" applyFill="1" applyBorder="1" applyAlignment="1" applyProtection="1">
      <alignment horizontal="distributed" vertical="center"/>
    </xf>
    <xf numFmtId="10" fontId="26" fillId="2" borderId="1" xfId="2" applyNumberFormat="1" applyFont="1" applyFill="1" applyBorder="1" applyAlignment="1" applyProtection="1">
      <alignment horizontal="center"/>
    </xf>
    <xf numFmtId="0" fontId="26" fillId="0" borderId="3" xfId="0" applyFont="1" applyBorder="1" applyProtection="1"/>
    <xf numFmtId="10" fontId="38" fillId="2" borderId="1" xfId="2" applyNumberFormat="1" applyFont="1" applyFill="1" applyBorder="1" applyAlignment="1" applyProtection="1">
      <alignment horizontal="center"/>
    </xf>
    <xf numFmtId="164" fontId="30" fillId="2" borderId="1" xfId="0" applyNumberFormat="1" applyFont="1" applyFill="1" applyBorder="1" applyAlignment="1" applyProtection="1">
      <alignment horizontal="distributed" vertical="center"/>
    </xf>
    <xf numFmtId="10" fontId="38" fillId="0" borderId="1" xfId="2" applyNumberFormat="1" applyFont="1" applyFill="1" applyBorder="1" applyAlignment="1" applyProtection="1">
      <alignment horizontal="center"/>
    </xf>
    <xf numFmtId="164" fontId="40" fillId="0" borderId="6" xfId="0" applyNumberFormat="1" applyFont="1" applyBorder="1" applyAlignment="1" applyProtection="1">
      <alignment horizontal="distributed"/>
    </xf>
    <xf numFmtId="10" fontId="38" fillId="0" borderId="1" xfId="2" applyNumberFormat="1" applyFont="1" applyFill="1" applyBorder="1" applyAlignment="1" applyProtection="1">
      <alignment horizontal="center" vertical="center"/>
    </xf>
    <xf numFmtId="164" fontId="39" fillId="0" borderId="1" xfId="0" applyNumberFormat="1" applyFont="1" applyFill="1" applyBorder="1" applyAlignment="1" applyProtection="1">
      <alignment horizontal="distributed" vertical="center"/>
    </xf>
    <xf numFmtId="164" fontId="32" fillId="0" borderId="1" xfId="0" applyNumberFormat="1" applyFont="1" applyFill="1" applyBorder="1" applyAlignment="1" applyProtection="1">
      <alignment horizontal="distributed" vertical="center"/>
    </xf>
    <xf numFmtId="164" fontId="28" fillId="0" borderId="1" xfId="0" applyNumberFormat="1" applyFont="1" applyFill="1" applyBorder="1" applyAlignment="1" applyProtection="1">
      <alignment horizontal="distributed" vertical="center"/>
    </xf>
    <xf numFmtId="0" fontId="26" fillId="0" borderId="5" xfId="0" applyFont="1" applyBorder="1" applyAlignment="1" applyProtection="1">
      <alignment horizontal="center" vertical="center"/>
    </xf>
    <xf numFmtId="10" fontId="26" fillId="2" borderId="1" xfId="0" applyNumberFormat="1" applyFont="1" applyFill="1" applyBorder="1" applyAlignment="1" applyProtection="1">
      <alignment horizontal="center"/>
    </xf>
    <xf numFmtId="0" fontId="26" fillId="2" borderId="1" xfId="0" applyFont="1" applyFill="1" applyBorder="1" applyAlignment="1" applyProtection="1">
      <alignment horizontal="center" vertical="center"/>
    </xf>
    <xf numFmtId="10" fontId="38" fillId="0" borderId="1" xfId="2" applyNumberFormat="1" applyFont="1" applyBorder="1" applyAlignment="1" applyProtection="1">
      <alignment horizontal="center" vertical="center"/>
    </xf>
    <xf numFmtId="164" fontId="40" fillId="0" borderId="6" xfId="0" applyNumberFormat="1" applyFont="1" applyFill="1" applyBorder="1" applyAlignment="1" applyProtection="1">
      <alignment horizontal="distributed" vertical="center"/>
    </xf>
    <xf numFmtId="0" fontId="28" fillId="0" borderId="1" xfId="0" applyFont="1" applyBorder="1" applyAlignment="1" applyProtection="1">
      <alignment horizontal="center"/>
      <protection locked="0"/>
    </xf>
    <xf numFmtId="10" fontId="39" fillId="0" borderId="1" xfId="2" applyNumberFormat="1" applyFont="1" applyBorder="1" applyAlignment="1" applyProtection="1">
      <alignment horizontal="center"/>
      <protection locked="0"/>
    </xf>
    <xf numFmtId="164" fontId="28" fillId="0" borderId="1" xfId="0" applyNumberFormat="1" applyFont="1" applyFill="1" applyBorder="1" applyAlignment="1" applyProtection="1">
      <alignment horizontal="distributed" vertical="center"/>
      <protection locked="0"/>
    </xf>
    <xf numFmtId="0" fontId="30" fillId="0" borderId="1" xfId="0" applyFont="1" applyBorder="1" applyAlignment="1" applyProtection="1">
      <alignment vertical="center" wrapText="1"/>
      <protection locked="0"/>
    </xf>
    <xf numFmtId="10" fontId="38" fillId="0" borderId="1" xfId="2" applyNumberFormat="1" applyFont="1" applyBorder="1" applyAlignment="1" applyProtection="1">
      <alignment horizontal="center" vertical="center"/>
      <protection locked="0"/>
    </xf>
    <xf numFmtId="164" fontId="30" fillId="0" borderId="1" xfId="0" applyNumberFormat="1" applyFont="1" applyFill="1" applyBorder="1" applyAlignment="1" applyProtection="1">
      <alignment horizontal="distributed" vertical="center"/>
      <protection locked="0"/>
    </xf>
    <xf numFmtId="10" fontId="38" fillId="2" borderId="1" xfId="2" applyNumberFormat="1" applyFont="1" applyFill="1" applyBorder="1" applyAlignment="1" applyProtection="1">
      <alignment horizontal="center" vertical="center"/>
    </xf>
    <xf numFmtId="10" fontId="39" fillId="0" borderId="1" xfId="2" applyNumberFormat="1" applyFont="1" applyFill="1" applyBorder="1" applyAlignment="1" applyProtection="1">
      <alignment horizontal="center"/>
      <protection locked="0"/>
    </xf>
    <xf numFmtId="0" fontId="28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Fill="1" applyBorder="1" applyAlignment="1" applyProtection="1">
      <alignment horizontal="center" vertical="center"/>
      <protection locked="0"/>
    </xf>
    <xf numFmtId="164" fontId="40" fillId="0" borderId="1" xfId="0" applyNumberFormat="1" applyFont="1" applyFill="1" applyBorder="1" applyAlignment="1" applyProtection="1">
      <alignment horizontal="distributed" vertical="distributed" justifyLastLine="1"/>
    </xf>
    <xf numFmtId="170" fontId="39" fillId="0" borderId="1" xfId="2" applyNumberFormat="1" applyFont="1" applyBorder="1" applyAlignment="1" applyProtection="1">
      <alignment horizont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center"/>
    </xf>
    <xf numFmtId="0" fontId="30" fillId="0" borderId="1" xfId="0" applyFont="1" applyBorder="1" applyAlignment="1" applyProtection="1">
      <alignment vertical="center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71" fontId="39" fillId="5" borderId="1" xfId="2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Border="1" applyProtection="1"/>
    <xf numFmtId="0" fontId="34" fillId="0" borderId="0" xfId="0" applyFont="1" applyBorder="1" applyAlignment="1" applyProtection="1">
      <alignment horizontal="left"/>
    </xf>
    <xf numFmtId="164" fontId="30" fillId="0" borderId="1" xfId="0" applyNumberFormat="1" applyFont="1" applyFill="1" applyBorder="1" applyAlignment="1" applyProtection="1">
      <alignment horizontal="distributed"/>
    </xf>
    <xf numFmtId="164" fontId="30" fillId="2" borderId="1" xfId="0" applyNumberFormat="1" applyFont="1" applyFill="1" applyBorder="1" applyAlignment="1" applyProtection="1">
      <alignment horizontal="distributed"/>
    </xf>
    <xf numFmtId="0" fontId="33" fillId="0" borderId="1" xfId="0" applyFont="1" applyBorder="1" applyAlignment="1" applyProtection="1">
      <alignment horizontal="center"/>
    </xf>
    <xf numFmtId="10" fontId="33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44" fontId="14" fillId="0" borderId="1" xfId="0" applyNumberFormat="1" applyFont="1" applyBorder="1" applyAlignment="1" applyProtection="1">
      <alignment horizontal="right"/>
      <protection locked="0"/>
    </xf>
    <xf numFmtId="165" fontId="13" fillId="3" borderId="5" xfId="1" applyFont="1" applyFill="1" applyBorder="1" applyAlignment="1" applyProtection="1">
      <alignment horizontal="justify" vertical="center"/>
    </xf>
    <xf numFmtId="165" fontId="15" fillId="6" borderId="1" xfId="1" applyFont="1" applyFill="1" applyBorder="1" applyAlignment="1" applyProtection="1">
      <alignment horizontal="center"/>
    </xf>
    <xf numFmtId="43" fontId="15" fillId="6" borderId="1" xfId="0" applyNumberFormat="1" applyFont="1" applyFill="1" applyBorder="1" applyAlignment="1" applyProtection="1">
      <alignment horizontal="center"/>
    </xf>
    <xf numFmtId="0" fontId="15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3" fillId="0" borderId="2" xfId="0" applyFont="1" applyBorder="1" applyAlignment="1" applyProtection="1">
      <alignment vertical="top" wrapText="1"/>
    </xf>
    <xf numFmtId="0" fontId="23" fillId="0" borderId="10" xfId="0" applyFont="1" applyBorder="1" applyAlignment="1" applyProtection="1">
      <alignment vertical="top" wrapText="1"/>
    </xf>
    <xf numFmtId="0" fontId="23" fillId="0" borderId="15" xfId="0" applyFont="1" applyBorder="1" applyAlignment="1" applyProtection="1">
      <alignment vertical="top" wrapText="1"/>
    </xf>
    <xf numFmtId="0" fontId="23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1" fillId="6" borderId="5" xfId="1" applyFont="1" applyFill="1" applyBorder="1" applyAlignment="1" applyProtection="1">
      <alignment horizontal="center" vertical="center"/>
      <protection locked="0"/>
    </xf>
    <xf numFmtId="165" fontId="21" fillId="6" borderId="8" xfId="1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left"/>
    </xf>
    <xf numFmtId="0" fontId="20" fillId="0" borderId="7" xfId="0" applyFont="1" applyFill="1" applyBorder="1" applyAlignment="1" applyProtection="1">
      <alignment horizontal="left"/>
    </xf>
    <xf numFmtId="0" fontId="20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4" fillId="0" borderId="5" xfId="0" applyNumberFormat="1" applyFont="1" applyFill="1" applyBorder="1" applyAlignment="1" applyProtection="1">
      <alignment horizontal="distributed" vertical="center"/>
    </xf>
    <xf numFmtId="164" fontId="14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3" fillId="3" borderId="5" xfId="1" applyFont="1" applyFill="1" applyBorder="1" applyAlignment="1" applyProtection="1">
      <alignment horizontal="center" vertical="center"/>
    </xf>
    <xf numFmtId="165" fontId="13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3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4" fillId="0" borderId="4" xfId="3" applyNumberFormat="1" applyFont="1" applyBorder="1" applyAlignment="1" applyProtection="1">
      <alignment horizontal="center" vertical="center"/>
      <protection locked="0"/>
    </xf>
    <xf numFmtId="1" fontId="14" fillId="0" borderId="9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1" fontId="23" fillId="0" borderId="4" xfId="3" applyNumberFormat="1" applyFont="1" applyBorder="1" applyAlignment="1" applyProtection="1">
      <alignment horizontal="center" vertical="center"/>
    </xf>
    <xf numFmtId="1" fontId="23" fillId="0" borderId="9" xfId="3" applyNumberFormat="1" applyFont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5" fillId="5" borderId="1" xfId="0" applyFont="1" applyFill="1" applyBorder="1" applyAlignment="1" applyProtection="1">
      <alignment horizontal="center"/>
    </xf>
    <xf numFmtId="165" fontId="14" fillId="0" borderId="1" xfId="1" applyFont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4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4" fillId="0" borderId="4" xfId="0" applyFont="1" applyBorder="1" applyAlignment="1" applyProtection="1">
      <alignment horizontal="right" vertical="center"/>
      <protection locked="0"/>
    </xf>
    <xf numFmtId="0" fontId="14" fillId="0" borderId="9" xfId="0" applyFont="1" applyBorder="1" applyAlignment="1" applyProtection="1">
      <alignment horizontal="right" vertical="center"/>
      <protection locked="0"/>
    </xf>
    <xf numFmtId="0" fontId="30" fillId="9" borderId="1" xfId="0" applyFont="1" applyFill="1" applyBorder="1" applyAlignment="1" applyProtection="1">
      <alignment horizontal="center"/>
    </xf>
    <xf numFmtId="0" fontId="33" fillId="5" borderId="8" xfId="0" applyFont="1" applyFill="1" applyBorder="1" applyAlignment="1" applyProtection="1">
      <alignment horizontal="center"/>
    </xf>
    <xf numFmtId="0" fontId="33" fillId="5" borderId="1" xfId="0" applyFont="1" applyFill="1" applyBorder="1" applyAlignment="1" applyProtection="1">
      <alignment horizontal="center"/>
    </xf>
    <xf numFmtId="165" fontId="28" fillId="0" borderId="1" xfId="1" applyFont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vertical="top" wrapText="1"/>
    </xf>
    <xf numFmtId="0" fontId="31" fillId="0" borderId="10" xfId="0" applyFont="1" applyBorder="1" applyAlignment="1" applyProtection="1">
      <alignment vertical="top" wrapText="1"/>
    </xf>
    <xf numFmtId="0" fontId="31" fillId="0" borderId="15" xfId="0" applyFont="1" applyBorder="1" applyAlignment="1" applyProtection="1">
      <alignment vertical="top" wrapText="1"/>
    </xf>
    <xf numFmtId="0" fontId="31" fillId="0" borderId="0" xfId="0" applyFont="1" applyBorder="1" applyAlignment="1" applyProtection="1">
      <alignment vertical="top" wrapText="1"/>
    </xf>
    <xf numFmtId="0" fontId="30" fillId="0" borderId="1" xfId="0" applyFont="1" applyBorder="1" applyAlignment="1" applyProtection="1">
      <alignment horizontal="left"/>
    </xf>
    <xf numFmtId="0" fontId="26" fillId="2" borderId="1" xfId="0" applyFont="1" applyFill="1" applyBorder="1" applyAlignment="1" applyProtection="1">
      <alignment horizontal="center"/>
    </xf>
    <xf numFmtId="0" fontId="30" fillId="0" borderId="4" xfId="0" applyFont="1" applyBorder="1" applyAlignment="1" applyProtection="1">
      <alignment horizontal="left"/>
    </xf>
    <xf numFmtId="0" fontId="30" fillId="0" borderId="7" xfId="0" applyFont="1" applyBorder="1" applyAlignment="1" applyProtection="1">
      <alignment horizontal="left"/>
    </xf>
    <xf numFmtId="0" fontId="30" fillId="0" borderId="9" xfId="0" applyFont="1" applyBorder="1" applyAlignment="1" applyProtection="1">
      <alignment horizontal="left"/>
    </xf>
    <xf numFmtId="0" fontId="26" fillId="2" borderId="4" xfId="0" applyFont="1" applyFill="1" applyBorder="1" applyAlignment="1" applyProtection="1">
      <alignment horizontal="center"/>
    </xf>
    <xf numFmtId="0" fontId="26" fillId="2" borderId="7" xfId="0" applyFont="1" applyFill="1" applyBorder="1" applyAlignment="1" applyProtection="1">
      <alignment horizontal="center"/>
    </xf>
    <xf numFmtId="0" fontId="34" fillId="0" borderId="12" xfId="0" applyFont="1" applyBorder="1" applyAlignment="1" applyProtection="1">
      <alignment horizontal="left"/>
    </xf>
    <xf numFmtId="0" fontId="34" fillId="0" borderId="13" xfId="0" applyFont="1" applyBorder="1" applyAlignment="1" applyProtection="1">
      <alignment horizontal="left"/>
    </xf>
    <xf numFmtId="0" fontId="26" fillId="0" borderId="0" xfId="0" applyFont="1" applyAlignment="1" applyProtection="1">
      <alignment horizontal="center"/>
    </xf>
    <xf numFmtId="0" fontId="26" fillId="4" borderId="1" xfId="0" applyFont="1" applyFill="1" applyBorder="1" applyAlignment="1" applyProtection="1">
      <alignment horizontal="center"/>
    </xf>
    <xf numFmtId="0" fontId="30" fillId="0" borderId="1" xfId="0" applyFont="1" applyBorder="1" applyAlignment="1" applyProtection="1">
      <alignment horizontal="center"/>
    </xf>
    <xf numFmtId="0" fontId="30" fillId="2" borderId="4" xfId="0" applyFont="1" applyFill="1" applyBorder="1" applyAlignment="1" applyProtection="1">
      <alignment horizontal="center" vertical="center" wrapText="1"/>
    </xf>
    <xf numFmtId="0" fontId="30" fillId="2" borderId="9" xfId="0" applyFont="1" applyFill="1" applyBorder="1" applyAlignment="1" applyProtection="1">
      <alignment horizontal="center" vertical="center" wrapText="1"/>
    </xf>
    <xf numFmtId="0" fontId="26" fillId="0" borderId="5" xfId="0" applyFont="1" applyBorder="1" applyAlignment="1" applyProtection="1">
      <alignment horizontal="center" vertical="center"/>
    </xf>
    <xf numFmtId="0" fontId="26" fillId="0" borderId="8" xfId="0" applyFont="1" applyBorder="1" applyAlignment="1" applyProtection="1">
      <alignment horizontal="center" vertical="center"/>
    </xf>
    <xf numFmtId="0" fontId="40" fillId="0" borderId="4" xfId="0" applyFont="1" applyFill="1" applyBorder="1" applyAlignment="1" applyProtection="1">
      <alignment horizontal="left"/>
    </xf>
    <xf numFmtId="0" fontId="40" fillId="0" borderId="7" xfId="0" applyFont="1" applyFill="1" applyBorder="1" applyAlignment="1" applyProtection="1">
      <alignment horizontal="left"/>
    </xf>
    <xf numFmtId="0" fontId="40" fillId="0" borderId="9" xfId="0" applyFont="1" applyFill="1" applyBorder="1" applyAlignment="1" applyProtection="1">
      <alignment horizontal="left"/>
    </xf>
    <xf numFmtId="0" fontId="30" fillId="0" borderId="1" xfId="0" applyFont="1" applyBorder="1" applyAlignment="1" applyProtection="1">
      <alignment horizontal="left" vertical="center"/>
    </xf>
    <xf numFmtId="0" fontId="34" fillId="0" borderId="10" xfId="0" applyFont="1" applyBorder="1" applyAlignment="1" applyProtection="1">
      <alignment horizontal="left"/>
    </xf>
    <xf numFmtId="0" fontId="34" fillId="0" borderId="11" xfId="0" applyFont="1" applyBorder="1" applyAlignment="1" applyProtection="1">
      <alignment horizontal="left"/>
    </xf>
    <xf numFmtId="0" fontId="26" fillId="0" borderId="5" xfId="0" applyFont="1" applyBorder="1" applyAlignment="1" applyProtection="1">
      <alignment horizontal="center" vertical="top"/>
    </xf>
    <xf numFmtId="0" fontId="26" fillId="0" borderId="14" xfId="0" applyFont="1" applyBorder="1" applyAlignment="1" applyProtection="1">
      <alignment horizontal="center" vertical="top"/>
    </xf>
    <xf numFmtId="0" fontId="26" fillId="0" borderId="8" xfId="0" applyFont="1" applyBorder="1" applyAlignment="1" applyProtection="1">
      <alignment horizontal="center" vertical="top"/>
    </xf>
    <xf numFmtId="0" fontId="30" fillId="0" borderId="4" xfId="0" applyFont="1" applyFill="1" applyBorder="1" applyAlignment="1" applyProtection="1">
      <alignment horizontal="center"/>
    </xf>
    <xf numFmtId="0" fontId="30" fillId="0" borderId="7" xfId="0" applyFont="1" applyFill="1" applyBorder="1" applyAlignment="1" applyProtection="1">
      <alignment horizontal="center"/>
    </xf>
    <xf numFmtId="0" fontId="30" fillId="0" borderId="9" xfId="0" applyFont="1" applyFill="1" applyBorder="1" applyAlignment="1" applyProtection="1">
      <alignment horizontal="center"/>
    </xf>
    <xf numFmtId="0" fontId="30" fillId="0" borderId="5" xfId="0" applyFont="1" applyBorder="1" applyAlignment="1" applyProtection="1">
      <alignment vertical="top" wrapText="1"/>
    </xf>
    <xf numFmtId="0" fontId="30" fillId="0" borderId="14" xfId="0" applyFont="1" applyBorder="1" applyAlignment="1" applyProtection="1">
      <alignment vertical="top" wrapText="1"/>
    </xf>
    <xf numFmtId="0" fontId="30" fillId="0" borderId="8" xfId="0" applyFont="1" applyBorder="1" applyAlignment="1" applyProtection="1">
      <alignment vertical="top" wrapText="1"/>
    </xf>
    <xf numFmtId="0" fontId="30" fillId="0" borderId="1" xfId="0" applyFont="1" applyBorder="1" applyAlignment="1" applyProtection="1">
      <alignment horizontal="left" vertical="center" wrapText="1"/>
    </xf>
    <xf numFmtId="0" fontId="30" fillId="0" borderId="1" xfId="0" applyFont="1" applyBorder="1" applyAlignment="1" applyProtection="1">
      <alignment vertical="center" wrapText="1"/>
    </xf>
    <xf numFmtId="0" fontId="30" fillId="0" borderId="5" xfId="0" applyFont="1" applyBorder="1" applyAlignment="1" applyProtection="1">
      <alignment horizontal="left" vertical="center" wrapText="1"/>
    </xf>
    <xf numFmtId="0" fontId="30" fillId="0" borderId="8" xfId="0" applyFont="1" applyBorder="1" applyAlignment="1" applyProtection="1">
      <alignment horizontal="left" vertical="center" wrapText="1"/>
    </xf>
    <xf numFmtId="0" fontId="26" fillId="4" borderId="4" xfId="0" applyFont="1" applyFill="1" applyBorder="1" applyAlignment="1" applyProtection="1">
      <alignment horizontal="center"/>
    </xf>
    <xf numFmtId="0" fontId="26" fillId="4" borderId="9" xfId="0" applyFont="1" applyFill="1" applyBorder="1" applyAlignment="1" applyProtection="1">
      <alignment horizontal="center"/>
    </xf>
    <xf numFmtId="0" fontId="26" fillId="4" borderId="7" xfId="0" applyFont="1" applyFill="1" applyBorder="1" applyAlignment="1" applyProtection="1">
      <alignment horizontal="center"/>
    </xf>
    <xf numFmtId="0" fontId="26" fillId="2" borderId="4" xfId="0" applyFont="1" applyFill="1" applyBorder="1" applyAlignment="1" applyProtection="1">
      <alignment horizontal="justify" wrapText="1"/>
    </xf>
    <xf numFmtId="0" fontId="26" fillId="2" borderId="9" xfId="0" applyFont="1" applyFill="1" applyBorder="1" applyAlignment="1" applyProtection="1">
      <alignment horizontal="justify" wrapText="1"/>
    </xf>
    <xf numFmtId="0" fontId="30" fillId="0" borderId="4" xfId="0" applyFont="1" applyBorder="1" applyAlignment="1" applyProtection="1">
      <alignment horizontal="justify" wrapText="1"/>
    </xf>
    <xf numFmtId="0" fontId="30" fillId="0" borderId="9" xfId="0" applyFont="1" applyBorder="1" applyAlignment="1" applyProtection="1">
      <alignment horizontal="justify" wrapText="1"/>
    </xf>
    <xf numFmtId="0" fontId="26" fillId="2" borderId="4" xfId="0" applyFont="1" applyFill="1" applyBorder="1" applyAlignment="1" applyProtection="1">
      <alignment horizontal="center" vertical="center"/>
    </xf>
    <xf numFmtId="0" fontId="26" fillId="2" borderId="7" xfId="0" applyFont="1" applyFill="1" applyBorder="1" applyAlignment="1" applyProtection="1">
      <alignment horizontal="center" vertical="center"/>
    </xf>
    <xf numFmtId="0" fontId="26" fillId="2" borderId="9" xfId="0" applyFont="1" applyFill="1" applyBorder="1" applyAlignment="1" applyProtection="1">
      <alignment horizontal="center" vertical="center"/>
    </xf>
    <xf numFmtId="0" fontId="30" fillId="0" borderId="4" xfId="0" applyFont="1" applyBorder="1" applyAlignment="1" applyProtection="1">
      <alignment horizontal="justify" vertical="center" wrapText="1"/>
    </xf>
    <xf numFmtId="0" fontId="30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0" fillId="0" borderId="4" xfId="0" applyFont="1" applyBorder="1" applyAlignment="1" applyProtection="1">
      <alignment horizontal="left" vertical="center"/>
    </xf>
    <xf numFmtId="0" fontId="30" fillId="0" borderId="9" xfId="0" applyFont="1" applyBorder="1" applyAlignment="1" applyProtection="1">
      <alignment horizontal="left" vertical="center"/>
    </xf>
    <xf numFmtId="0" fontId="30" fillId="0" borderId="2" xfId="0" applyFont="1" applyBorder="1" applyAlignment="1" applyProtection="1">
      <alignment horizontal="justify" vertical="center" wrapText="1"/>
    </xf>
    <xf numFmtId="0" fontId="30" fillId="0" borderId="11" xfId="0" applyFont="1" applyBorder="1" applyAlignment="1" applyProtection="1">
      <alignment horizontal="justify" vertical="center" wrapText="1"/>
    </xf>
    <xf numFmtId="0" fontId="30" fillId="0" borderId="3" xfId="0" applyFont="1" applyBorder="1" applyAlignment="1" applyProtection="1">
      <alignment horizontal="justify" vertical="center" wrapText="1"/>
    </xf>
    <xf numFmtId="0" fontId="30" fillId="0" borderId="13" xfId="0" applyFont="1" applyBorder="1" applyAlignment="1" applyProtection="1">
      <alignment horizontal="justify" vertical="center" wrapText="1"/>
    </xf>
    <xf numFmtId="10" fontId="38" fillId="0" borderId="5" xfId="2" applyNumberFormat="1" applyFont="1" applyFill="1" applyBorder="1" applyAlignment="1" applyProtection="1">
      <alignment horizontal="center" vertical="center"/>
    </xf>
    <xf numFmtId="10" fontId="38" fillId="0" borderId="8" xfId="2" applyNumberFormat="1" applyFont="1" applyFill="1" applyBorder="1" applyAlignment="1" applyProtection="1">
      <alignment horizontal="center" vertical="center"/>
    </xf>
    <xf numFmtId="164" fontId="28" fillId="0" borderId="5" xfId="0" applyNumberFormat="1" applyFont="1" applyFill="1" applyBorder="1" applyAlignment="1" applyProtection="1">
      <alignment horizontal="distributed" vertical="center"/>
    </xf>
    <xf numFmtId="164" fontId="28" fillId="0" borderId="8" xfId="0" applyNumberFormat="1" applyFont="1" applyFill="1" applyBorder="1" applyAlignment="1" applyProtection="1">
      <alignment horizontal="distributed" vertical="center"/>
    </xf>
    <xf numFmtId="0" fontId="26" fillId="2" borderId="9" xfId="0" applyFont="1" applyFill="1" applyBorder="1" applyAlignment="1" applyProtection="1">
      <alignment horizontal="center"/>
    </xf>
    <xf numFmtId="0" fontId="30" fillId="5" borderId="1" xfId="0" applyFont="1" applyFill="1" applyBorder="1" applyAlignment="1" applyProtection="1">
      <alignment horizontal="left" vertical="center"/>
    </xf>
    <xf numFmtId="0" fontId="30" fillId="7" borderId="1" xfId="0" applyFont="1" applyFill="1" applyBorder="1" applyAlignment="1" applyProtection="1">
      <alignment horizontal="left"/>
    </xf>
    <xf numFmtId="0" fontId="34" fillId="0" borderId="7" xfId="0" applyFont="1" applyBorder="1" applyAlignment="1" applyProtection="1">
      <alignment horizontal="left"/>
    </xf>
    <xf numFmtId="0" fontId="34" fillId="0" borderId="9" xfId="0" applyFont="1" applyBorder="1" applyAlignment="1" applyProtection="1">
      <alignment horizontal="left"/>
    </xf>
    <xf numFmtId="0" fontId="26" fillId="0" borderId="1" xfId="0" applyFont="1" applyBorder="1" applyAlignment="1" applyProtection="1">
      <alignment horizontal="center" vertical="center"/>
    </xf>
    <xf numFmtId="0" fontId="30" fillId="0" borderId="1" xfId="0" applyFont="1" applyBorder="1" applyAlignment="1" applyProtection="1">
      <alignment horizontal="center" vertical="center"/>
    </xf>
    <xf numFmtId="165" fontId="32" fillId="6" borderId="5" xfId="1" applyFont="1" applyFill="1" applyBorder="1" applyAlignment="1" applyProtection="1">
      <alignment horizontal="center" vertical="center"/>
      <protection locked="0"/>
    </xf>
    <xf numFmtId="165" fontId="32" fillId="6" borderId="8" xfId="1" applyFont="1" applyFill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 wrapText="1"/>
    </xf>
    <xf numFmtId="0" fontId="30" fillId="0" borderId="8" xfId="0" applyFont="1" applyBorder="1" applyAlignment="1" applyProtection="1">
      <alignment horizontal="center" vertical="center" wrapText="1"/>
    </xf>
    <xf numFmtId="0" fontId="34" fillId="0" borderId="10" xfId="0" applyFont="1" applyBorder="1" applyAlignment="1" applyProtection="1">
      <alignment horizontal="center"/>
    </xf>
    <xf numFmtId="0" fontId="34" fillId="0" borderId="11" xfId="0" applyFont="1" applyBorder="1" applyAlignment="1" applyProtection="1">
      <alignment horizontal="center"/>
    </xf>
    <xf numFmtId="0" fontId="30" fillId="0" borderId="5" xfId="0" applyFont="1" applyBorder="1" applyAlignment="1" applyProtection="1">
      <alignment horizontal="center" vertical="center"/>
    </xf>
    <xf numFmtId="0" fontId="30" fillId="0" borderId="8" xfId="0" applyFont="1" applyBorder="1" applyAlignment="1" applyProtection="1">
      <alignment horizontal="center" vertical="center"/>
    </xf>
    <xf numFmtId="165" fontId="30" fillId="3" borderId="5" xfId="1" applyFont="1" applyFill="1" applyBorder="1" applyAlignment="1" applyProtection="1">
      <alignment horizontal="center" vertical="center"/>
    </xf>
    <xf numFmtId="165" fontId="30" fillId="3" borderId="8" xfId="1" applyFont="1" applyFill="1" applyBorder="1" applyAlignment="1" applyProtection="1">
      <alignment horizontal="center" vertical="center"/>
    </xf>
    <xf numFmtId="0" fontId="36" fillId="0" borderId="5" xfId="0" applyFont="1" applyBorder="1" applyAlignment="1" applyProtection="1">
      <alignment horizontal="center" vertical="center"/>
    </xf>
    <xf numFmtId="0" fontId="36" fillId="0" borderId="14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6" fillId="0" borderId="1" xfId="0" applyFont="1" applyBorder="1" applyAlignment="1" applyProtection="1">
      <alignment horizontal="center"/>
      <protection locked="0"/>
    </xf>
    <xf numFmtId="0" fontId="26" fillId="0" borderId="14" xfId="0" applyFont="1" applyBorder="1" applyAlignment="1" applyProtection="1">
      <alignment horizontal="center" vertical="center"/>
    </xf>
    <xf numFmtId="0" fontId="38" fillId="0" borderId="5" xfId="0" applyFont="1" applyBorder="1" applyAlignment="1" applyProtection="1">
      <alignment horizontal="center" vertical="center" wrapText="1"/>
    </xf>
    <xf numFmtId="0" fontId="38" fillId="0" borderId="14" xfId="0" applyFont="1" applyBorder="1" applyAlignment="1" applyProtection="1">
      <alignment horizontal="center" vertical="center" wrapText="1"/>
    </xf>
    <xf numFmtId="0" fontId="38" fillId="0" borderId="8" xfId="0" applyFont="1" applyBorder="1" applyAlignment="1" applyProtection="1">
      <alignment horizontal="center" vertical="center" wrapText="1"/>
    </xf>
    <xf numFmtId="164" fontId="30" fillId="0" borderId="5" xfId="0" applyNumberFormat="1" applyFont="1" applyFill="1" applyBorder="1" applyAlignment="1" applyProtection="1">
      <alignment horizontal="distributed" vertical="center"/>
    </xf>
    <xf numFmtId="164" fontId="30" fillId="0" borderId="14" xfId="0" applyNumberFormat="1" applyFont="1" applyFill="1" applyBorder="1" applyAlignment="1" applyProtection="1">
      <alignment horizontal="distributed" vertical="center"/>
    </xf>
    <xf numFmtId="164" fontId="30" fillId="0" borderId="8" xfId="0" applyNumberFormat="1" applyFont="1" applyFill="1" applyBorder="1" applyAlignment="1" applyProtection="1">
      <alignment horizontal="distributed" vertical="center"/>
    </xf>
    <xf numFmtId="0" fontId="36" fillId="0" borderId="1" xfId="0" applyFont="1" applyBorder="1" applyAlignment="1" applyProtection="1">
      <alignment horizontal="left"/>
      <protection locked="0"/>
    </xf>
    <xf numFmtId="0" fontId="30" fillId="0" borderId="2" xfId="0" applyFont="1" applyBorder="1" applyAlignment="1" applyProtection="1">
      <alignment horizontal="center" vertical="center"/>
    </xf>
    <xf numFmtId="0" fontId="30" fillId="0" borderId="15" xfId="0" applyFont="1" applyBorder="1" applyAlignment="1" applyProtection="1">
      <alignment horizontal="center" vertical="center"/>
    </xf>
    <xf numFmtId="0" fontId="30" fillId="0" borderId="3" xfId="0" applyFont="1" applyBorder="1" applyAlignment="1" applyProtection="1">
      <alignment horizontal="center" vertical="center"/>
    </xf>
    <xf numFmtId="164" fontId="30" fillId="0" borderId="6" xfId="0" applyNumberFormat="1" applyFont="1" applyFill="1" applyBorder="1" applyAlignment="1" applyProtection="1">
      <alignment horizontal="distributed" vertical="center"/>
    </xf>
    <xf numFmtId="0" fontId="36" fillId="0" borderId="1" xfId="0" applyFont="1" applyBorder="1" applyAlignment="1" applyProtection="1">
      <alignment horizontal="left"/>
    </xf>
    <xf numFmtId="0" fontId="35" fillId="0" borderId="5" xfId="0" applyFont="1" applyBorder="1" applyAlignment="1" applyProtection="1">
      <alignment horizontal="center" vertical="center"/>
    </xf>
    <xf numFmtId="0" fontId="35" fillId="0" borderId="8" xfId="0" applyFont="1" applyBorder="1" applyAlignment="1" applyProtection="1">
      <alignment horizontal="center" vertical="center"/>
    </xf>
    <xf numFmtId="0" fontId="36" fillId="0" borderId="2" xfId="0" applyFont="1" applyBorder="1" applyAlignment="1" applyProtection="1">
      <alignment horizontal="left" vertical="center"/>
    </xf>
    <xf numFmtId="0" fontId="36" fillId="0" borderId="3" xfId="0" applyFont="1" applyBorder="1" applyAlignment="1" applyProtection="1">
      <alignment horizontal="left" vertical="center"/>
    </xf>
    <xf numFmtId="164" fontId="36" fillId="0" borderId="5" xfId="0" applyNumberFormat="1" applyFont="1" applyBorder="1" applyAlignment="1" applyProtection="1">
      <alignment horizontal="distributed" vertical="distributed" justifyLastLine="1"/>
    </xf>
    <xf numFmtId="164" fontId="36" fillId="0" borderId="8" xfId="0" applyNumberFormat="1" applyFont="1" applyBorder="1" applyAlignment="1" applyProtection="1">
      <alignment horizontal="distributed" vertical="distributed" justifyLastLine="1"/>
    </xf>
    <xf numFmtId="0" fontId="33" fillId="0" borderId="4" xfId="0" applyFont="1" applyBorder="1" applyAlignment="1" applyProtection="1">
      <alignment horizontal="center" vertical="center" wrapText="1"/>
    </xf>
    <xf numFmtId="0" fontId="33" fillId="0" borderId="7" xfId="0" applyFont="1" applyBorder="1" applyAlignment="1" applyProtection="1">
      <alignment horizontal="center" vertical="center" wrapText="1"/>
    </xf>
    <xf numFmtId="0" fontId="33" fillId="0" borderId="9" xfId="0" applyFont="1" applyBorder="1" applyAlignment="1" applyProtection="1">
      <alignment horizontal="center" vertical="center" wrapText="1"/>
    </xf>
    <xf numFmtId="1" fontId="31" fillId="0" borderId="4" xfId="3" applyNumberFormat="1" applyFont="1" applyBorder="1" applyAlignment="1" applyProtection="1">
      <alignment horizontal="center" vertical="center"/>
    </xf>
    <xf numFmtId="1" fontId="31" fillId="0" borderId="9" xfId="3" applyNumberFormat="1" applyFont="1" applyBorder="1" applyAlignment="1" applyProtection="1">
      <alignment horizontal="center" vertical="center"/>
    </xf>
    <xf numFmtId="0" fontId="34" fillId="0" borderId="12" xfId="0" applyFont="1" applyBorder="1" applyAlignment="1" applyProtection="1"/>
    <xf numFmtId="0" fontId="34" fillId="0" borderId="13" xfId="0" applyFont="1" applyBorder="1" applyAlignment="1" applyProtection="1"/>
    <xf numFmtId="0" fontId="26" fillId="3" borderId="1" xfId="0" applyFont="1" applyFill="1" applyBorder="1" applyAlignment="1" applyProtection="1">
      <alignment horizontal="center"/>
    </xf>
    <xf numFmtId="1" fontId="28" fillId="0" borderId="4" xfId="3" applyNumberFormat="1" applyFont="1" applyBorder="1" applyAlignment="1" applyProtection="1">
      <alignment horizontal="center" vertical="center"/>
      <protection locked="0"/>
    </xf>
    <xf numFmtId="1" fontId="28" fillId="0" borderId="9" xfId="3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center"/>
      <protection locked="0"/>
    </xf>
    <xf numFmtId="0" fontId="29" fillId="0" borderId="7" xfId="0" applyFont="1" applyBorder="1" applyAlignment="1" applyProtection="1">
      <alignment horizontal="center"/>
      <protection locked="0"/>
    </xf>
    <xf numFmtId="0" fontId="29" fillId="0" borderId="9" xfId="0" applyFont="1" applyBorder="1" applyAlignment="1" applyProtection="1">
      <alignment horizontal="center"/>
      <protection locked="0"/>
    </xf>
    <xf numFmtId="0" fontId="26" fillId="0" borderId="4" xfId="0" applyFont="1" applyBorder="1" applyAlignment="1" applyProtection="1">
      <alignment horizontal="left"/>
    </xf>
    <xf numFmtId="0" fontId="26" fillId="0" borderId="7" xfId="0" applyFont="1" applyBorder="1" applyAlignment="1" applyProtection="1">
      <alignment horizontal="left"/>
    </xf>
    <xf numFmtId="0" fontId="26" fillId="0" borderId="9" xfId="0" applyFont="1" applyBorder="1" applyAlignment="1" applyProtection="1">
      <alignment horizontal="left"/>
    </xf>
    <xf numFmtId="0" fontId="28" fillId="0" borderId="4" xfId="0" applyFont="1" applyBorder="1" applyAlignment="1" applyProtection="1">
      <alignment horizontal="right" vertical="center"/>
      <protection locked="0"/>
    </xf>
    <xf numFmtId="0" fontId="28" fillId="0" borderId="9" xfId="0" applyFont="1" applyBorder="1" applyAlignment="1" applyProtection="1">
      <alignment horizontal="right" vertical="center"/>
      <protection locked="0"/>
    </xf>
    <xf numFmtId="0" fontId="25" fillId="0" borderId="0" xfId="0" applyFont="1" applyAlignment="1">
      <alignment horizontal="center"/>
    </xf>
    <xf numFmtId="17" fontId="28" fillId="0" borderId="0" xfId="0" applyNumberFormat="1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29" fillId="0" borderId="1" xfId="0" applyFont="1" applyBorder="1" applyAlignment="1" applyProtection="1">
      <alignment horizontal="center"/>
      <protection locked="0"/>
    </xf>
    <xf numFmtId="0" fontId="42" fillId="5" borderId="1" xfId="0" applyFont="1" applyFill="1" applyBorder="1" applyAlignment="1" applyProtection="1">
      <alignment horizontal="center"/>
    </xf>
    <xf numFmtId="164" fontId="42" fillId="5" borderId="1" xfId="0" applyNumberFormat="1" applyFont="1" applyFill="1" applyBorder="1" applyAlignment="1" applyProtection="1">
      <alignment horizontal="center"/>
    </xf>
    <xf numFmtId="164" fontId="42" fillId="5" borderId="1" xfId="0" applyNumberFormat="1" applyFont="1" applyFill="1" applyBorder="1" applyAlignment="1" applyProtection="1">
      <alignment horizontal="center" vertical="center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6.7109375" style="4" customWidth="1"/>
    <col min="2" max="2" width="47.7109375" style="4" customWidth="1"/>
    <col min="3" max="3" width="22.7109375" style="4" customWidth="1"/>
    <col min="4" max="4" width="21.7109375" style="4" customWidth="1"/>
    <col min="5" max="5" width="22.7109375" style="4" customWidth="1"/>
    <col min="6" max="6" width="20.7109375" style="4" customWidth="1"/>
    <col min="7" max="16384" width="9.140625" style="4"/>
  </cols>
  <sheetData>
    <row r="1" spans="1:5" ht="18" x14ac:dyDescent="0.25">
      <c r="A1" s="337" t="s">
        <v>187</v>
      </c>
      <c r="B1" s="337"/>
      <c r="C1" s="337"/>
      <c r="D1" s="337"/>
      <c r="E1" s="337"/>
    </row>
    <row r="2" spans="1:5" ht="30.75" customHeight="1" x14ac:dyDescent="0.35">
      <c r="A2" s="328" t="s">
        <v>210</v>
      </c>
      <c r="B2" s="328"/>
      <c r="C2" s="328"/>
      <c r="D2" s="328"/>
      <c r="E2" s="328"/>
    </row>
    <row r="3" spans="1:5" ht="18.75" x14ac:dyDescent="0.3">
      <c r="A3" s="342" t="s">
        <v>208</v>
      </c>
      <c r="B3" s="343"/>
      <c r="C3" s="343"/>
      <c r="D3" s="343"/>
      <c r="E3" s="344"/>
    </row>
    <row r="4" spans="1:5" x14ac:dyDescent="0.25">
      <c r="A4" s="31" t="s">
        <v>135</v>
      </c>
      <c r="B4" s="345"/>
      <c r="C4" s="346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29" t="s">
        <v>137</v>
      </c>
      <c r="B6" s="329"/>
      <c r="C6" s="329"/>
      <c r="D6" s="329"/>
      <c r="E6" s="329"/>
    </row>
    <row r="7" spans="1:5" x14ac:dyDescent="0.25">
      <c r="A7" s="347" t="s">
        <v>138</v>
      </c>
      <c r="B7" s="347"/>
      <c r="C7" s="348"/>
      <c r="D7" s="348"/>
      <c r="E7" s="348"/>
    </row>
    <row r="8" spans="1:5" ht="14.45" x14ac:dyDescent="0.3">
      <c r="A8" s="347" t="s">
        <v>139</v>
      </c>
      <c r="B8" s="347"/>
      <c r="C8" s="349"/>
      <c r="D8" s="350"/>
      <c r="E8" s="351"/>
    </row>
    <row r="9" spans="1:5" x14ac:dyDescent="0.25">
      <c r="A9" s="352" t="s">
        <v>140</v>
      </c>
      <c r="B9" s="353"/>
      <c r="C9" s="354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329" t="s">
        <v>174</v>
      </c>
      <c r="B10" s="329"/>
      <c r="C10" s="329"/>
      <c r="D10" s="329"/>
      <c r="E10" s="329"/>
    </row>
    <row r="11" spans="1:5" x14ac:dyDescent="0.25">
      <c r="A11" s="27" t="s">
        <v>3</v>
      </c>
      <c r="B11" s="233" t="s">
        <v>7</v>
      </c>
      <c r="C11" s="233"/>
      <c r="D11" s="233"/>
      <c r="E11" s="53"/>
    </row>
    <row r="12" spans="1:5" x14ac:dyDescent="0.25">
      <c r="A12" s="27" t="s">
        <v>4</v>
      </c>
      <c r="B12" s="225" t="s">
        <v>8</v>
      </c>
      <c r="C12" s="226"/>
      <c r="D12" s="355" t="s">
        <v>180</v>
      </c>
      <c r="E12" s="356"/>
    </row>
    <row r="13" spans="1:5" x14ac:dyDescent="0.25">
      <c r="A13" s="27" t="s">
        <v>5</v>
      </c>
      <c r="B13" s="233" t="s">
        <v>9</v>
      </c>
      <c r="C13" s="233"/>
      <c r="D13" s="233"/>
      <c r="E13" s="97" t="s">
        <v>209</v>
      </c>
    </row>
    <row r="14" spans="1:5" x14ac:dyDescent="0.25">
      <c r="A14" s="27" t="s">
        <v>6</v>
      </c>
      <c r="B14" s="233" t="s">
        <v>10</v>
      </c>
      <c r="C14" s="233"/>
      <c r="D14" s="233"/>
      <c r="E14" s="54">
        <v>12</v>
      </c>
    </row>
    <row r="15" spans="1:5" x14ac:dyDescent="0.25">
      <c r="A15" s="329" t="s">
        <v>134</v>
      </c>
      <c r="B15" s="329"/>
      <c r="C15" s="329"/>
      <c r="D15" s="329"/>
      <c r="E15" s="329"/>
    </row>
    <row r="16" spans="1:5" x14ac:dyDescent="0.25">
      <c r="A16" s="232" t="s">
        <v>11</v>
      </c>
      <c r="B16" s="232"/>
      <c r="C16" s="69" t="s">
        <v>12</v>
      </c>
      <c r="D16" s="232" t="s">
        <v>13</v>
      </c>
      <c r="E16" s="232"/>
    </row>
    <row r="17" spans="1:5" x14ac:dyDescent="0.25">
      <c r="A17" s="232" t="s">
        <v>189</v>
      </c>
      <c r="B17" s="232"/>
      <c r="C17" s="70" t="s">
        <v>182</v>
      </c>
      <c r="D17" s="330">
        <v>1672</v>
      </c>
      <c r="E17" s="331"/>
    </row>
    <row r="18" spans="1:5" x14ac:dyDescent="0.25">
      <c r="A18" s="332" t="s">
        <v>153</v>
      </c>
      <c r="B18" s="333"/>
      <c r="C18" s="334"/>
      <c r="D18" s="335">
        <f>SUM(D17)</f>
        <v>1672</v>
      </c>
      <c r="E18" s="336"/>
    </row>
    <row r="19" spans="1:5" x14ac:dyDescent="0.25">
      <c r="A19" s="5" t="s">
        <v>25</v>
      </c>
      <c r="B19" s="326" t="s">
        <v>14</v>
      </c>
      <c r="C19" s="326"/>
      <c r="D19" s="326"/>
      <c r="E19" s="327"/>
    </row>
    <row r="20" spans="1:5" x14ac:dyDescent="0.25">
      <c r="A20" s="6"/>
      <c r="B20" s="324" t="s">
        <v>15</v>
      </c>
      <c r="C20" s="324"/>
      <c r="D20" s="324"/>
      <c r="E20" s="325"/>
    </row>
    <row r="21" spans="1:5" x14ac:dyDescent="0.25">
      <c r="A21" s="5" t="s">
        <v>26</v>
      </c>
      <c r="B21" s="326" t="s">
        <v>16</v>
      </c>
      <c r="C21" s="326"/>
      <c r="D21" s="326"/>
      <c r="E21" s="327"/>
    </row>
    <row r="22" spans="1:5" x14ac:dyDescent="0.25">
      <c r="A22" s="6"/>
      <c r="B22" s="247" t="s">
        <v>17</v>
      </c>
      <c r="C22" s="247"/>
      <c r="D22" s="247"/>
      <c r="E22" s="248"/>
    </row>
    <row r="24" spans="1:5" ht="23.25" x14ac:dyDescent="0.35">
      <c r="A24" s="328" t="s">
        <v>177</v>
      </c>
      <c r="B24" s="328"/>
      <c r="C24" s="328"/>
      <c r="D24" s="328"/>
      <c r="E24" s="328"/>
    </row>
    <row r="25" spans="1:5" x14ac:dyDescent="0.25">
      <c r="A25" s="231" t="s">
        <v>18</v>
      </c>
      <c r="B25" s="231"/>
      <c r="C25" s="231"/>
      <c r="D25" s="231"/>
      <c r="E25" s="231"/>
    </row>
    <row r="26" spans="1:5" x14ac:dyDescent="0.25">
      <c r="A26" s="234" t="s">
        <v>19</v>
      </c>
      <c r="B26" s="234"/>
      <c r="C26" s="234"/>
      <c r="D26" s="234"/>
      <c r="E26" s="234"/>
    </row>
    <row r="27" spans="1:5" x14ac:dyDescent="0.25">
      <c r="A27" s="233" t="s">
        <v>20</v>
      </c>
      <c r="B27" s="233"/>
      <c r="C27" s="233"/>
      <c r="D27" s="233"/>
      <c r="E27" s="233"/>
    </row>
    <row r="28" spans="1:5" x14ac:dyDescent="0.25">
      <c r="A28" s="27">
        <v>1</v>
      </c>
      <c r="B28" s="233" t="s">
        <v>21</v>
      </c>
      <c r="C28" s="233"/>
      <c r="D28" s="233"/>
      <c r="E28" s="92" t="s">
        <v>188</v>
      </c>
    </row>
    <row r="29" spans="1:5" x14ac:dyDescent="0.25">
      <c r="A29" s="27">
        <v>2</v>
      </c>
      <c r="B29" s="233" t="s">
        <v>22</v>
      </c>
      <c r="C29" s="233"/>
      <c r="D29" s="233"/>
      <c r="E29" s="93">
        <v>2004.59</v>
      </c>
    </row>
    <row r="30" spans="1:5" x14ac:dyDescent="0.25">
      <c r="A30" s="27">
        <v>3</v>
      </c>
      <c r="B30" s="233" t="s">
        <v>23</v>
      </c>
      <c r="C30" s="233"/>
      <c r="D30" s="233"/>
      <c r="E30" s="92" t="s">
        <v>164</v>
      </c>
    </row>
    <row r="31" spans="1:5" x14ac:dyDescent="0.25">
      <c r="A31" s="27">
        <v>4</v>
      </c>
      <c r="B31" s="233" t="s">
        <v>24</v>
      </c>
      <c r="C31" s="233"/>
      <c r="D31" s="233"/>
      <c r="E31" s="94">
        <v>44348</v>
      </c>
    </row>
    <row r="32" spans="1:5" x14ac:dyDescent="0.25">
      <c r="A32" s="34" t="s">
        <v>27</v>
      </c>
      <c r="B32" s="289" t="s">
        <v>28</v>
      </c>
      <c r="C32" s="289"/>
      <c r="D32" s="289"/>
      <c r="E32" s="290"/>
    </row>
    <row r="33" spans="1:5" x14ac:dyDescent="0.25">
      <c r="A33" s="231" t="s">
        <v>29</v>
      </c>
      <c r="B33" s="231"/>
      <c r="C33" s="231" t="s">
        <v>30</v>
      </c>
      <c r="D33" s="231"/>
      <c r="E33" s="231"/>
    </row>
    <row r="34" spans="1:5" x14ac:dyDescent="0.25">
      <c r="A34" s="28">
        <v>1</v>
      </c>
      <c r="B34" s="234" t="s">
        <v>35</v>
      </c>
      <c r="C34" s="234"/>
      <c r="D34" s="234"/>
      <c r="E34" s="28" t="s">
        <v>41</v>
      </c>
    </row>
    <row r="35" spans="1:5" x14ac:dyDescent="0.25">
      <c r="A35" s="36" t="s">
        <v>3</v>
      </c>
      <c r="B35" s="317" t="s">
        <v>36</v>
      </c>
      <c r="C35" s="317"/>
      <c r="D35" s="317"/>
      <c r="E35" s="79">
        <f>E29</f>
        <v>2004.59</v>
      </c>
    </row>
    <row r="36" spans="1:5" x14ac:dyDescent="0.25">
      <c r="A36" s="36" t="s">
        <v>4</v>
      </c>
      <c r="B36" s="317" t="s">
        <v>38</v>
      </c>
      <c r="C36" s="317"/>
      <c r="D36" s="317"/>
      <c r="E36" s="71">
        <v>0</v>
      </c>
    </row>
    <row r="37" spans="1:5" x14ac:dyDescent="0.25">
      <c r="A37" s="318" t="s">
        <v>5</v>
      </c>
      <c r="B37" s="320" t="s">
        <v>37</v>
      </c>
      <c r="C37" s="49" t="s">
        <v>147</v>
      </c>
      <c r="D37" s="75">
        <f>E35</f>
        <v>2004.59</v>
      </c>
      <c r="E37" s="322">
        <f>D37*D38</f>
        <v>0</v>
      </c>
    </row>
    <row r="38" spans="1:5" x14ac:dyDescent="0.25">
      <c r="A38" s="319"/>
      <c r="B38" s="321"/>
      <c r="C38" s="52" t="s">
        <v>148</v>
      </c>
      <c r="D38" s="41">
        <v>0</v>
      </c>
      <c r="E38" s="323"/>
    </row>
    <row r="39" spans="1:5" x14ac:dyDescent="0.25">
      <c r="A39" s="234" t="s">
        <v>40</v>
      </c>
      <c r="B39" s="234"/>
      <c r="C39" s="234"/>
      <c r="D39" s="234"/>
      <c r="E39" s="3">
        <f>SUM(E35:E38)</f>
        <v>2004.59</v>
      </c>
    </row>
    <row r="40" spans="1:5" x14ac:dyDescent="0.25">
      <c r="A40" s="231" t="s">
        <v>42</v>
      </c>
      <c r="B40" s="231"/>
      <c r="C40" s="231" t="s">
        <v>43</v>
      </c>
      <c r="D40" s="231"/>
      <c r="E40" s="231"/>
    </row>
    <row r="41" spans="1:5" x14ac:dyDescent="0.25">
      <c r="A41" s="28">
        <v>2</v>
      </c>
      <c r="B41" s="234" t="s">
        <v>44</v>
      </c>
      <c r="C41" s="234"/>
      <c r="D41" s="234"/>
      <c r="E41" s="28"/>
    </row>
    <row r="42" spans="1:5" x14ac:dyDescent="0.25">
      <c r="A42" s="237" t="s">
        <v>3</v>
      </c>
      <c r="B42" s="309" t="s">
        <v>45</v>
      </c>
      <c r="C42" s="7" t="s">
        <v>131</v>
      </c>
      <c r="D42" s="62">
        <f>E35</f>
        <v>2004.59</v>
      </c>
      <c r="E42" s="312">
        <f>IF(D43&gt;0,(D43*D44-(D42*6%)),0)</f>
        <v>0</v>
      </c>
    </row>
    <row r="43" spans="1:5" x14ac:dyDescent="0.25">
      <c r="A43" s="300"/>
      <c r="B43" s="310"/>
      <c r="C43" s="7" t="s">
        <v>132</v>
      </c>
      <c r="D43" s="73">
        <v>0</v>
      </c>
      <c r="E43" s="312"/>
    </row>
    <row r="44" spans="1:5" x14ac:dyDescent="0.25">
      <c r="A44" s="238"/>
      <c r="B44" s="311"/>
      <c r="C44" s="7" t="s">
        <v>130</v>
      </c>
      <c r="D44" s="74">
        <v>0</v>
      </c>
      <c r="E44" s="312"/>
    </row>
    <row r="45" spans="1:5" x14ac:dyDescent="0.25">
      <c r="A45" s="237" t="s">
        <v>4</v>
      </c>
      <c r="B45" s="313" t="s">
        <v>191</v>
      </c>
      <c r="C45" s="7" t="s">
        <v>149</v>
      </c>
      <c r="D45" s="66">
        <v>24.08</v>
      </c>
      <c r="E45" s="305">
        <f>ROUND((D45*D46)-((D45*D46)*D47),1)</f>
        <v>529.79999999999995</v>
      </c>
    </row>
    <row r="46" spans="1:5" x14ac:dyDescent="0.25">
      <c r="A46" s="300"/>
      <c r="B46" s="314"/>
      <c r="C46" s="7" t="s">
        <v>150</v>
      </c>
      <c r="D46" s="55">
        <v>22</v>
      </c>
      <c r="E46" s="316"/>
    </row>
    <row r="47" spans="1:5" x14ac:dyDescent="0.25">
      <c r="A47" s="238"/>
      <c r="B47" s="315"/>
      <c r="C47" s="68" t="s">
        <v>133</v>
      </c>
      <c r="D47" s="42">
        <v>0</v>
      </c>
      <c r="E47" s="306"/>
    </row>
    <row r="48" spans="1:5" x14ac:dyDescent="0.25">
      <c r="A48" s="209" t="s">
        <v>190</v>
      </c>
      <c r="B48" s="213" t="s">
        <v>193</v>
      </c>
      <c r="C48" s="208" t="s">
        <v>192</v>
      </c>
      <c r="D48" s="214">
        <v>230.51</v>
      </c>
      <c r="E48" s="305">
        <f>D48-(D48*D49)</f>
        <v>184.40799999999999</v>
      </c>
    </row>
    <row r="49" spans="1:6" x14ac:dyDescent="0.25">
      <c r="A49" s="209"/>
      <c r="B49" s="212"/>
      <c r="C49" s="208" t="s">
        <v>133</v>
      </c>
      <c r="D49" s="42">
        <v>0.2</v>
      </c>
      <c r="E49" s="306"/>
    </row>
    <row r="50" spans="1:6" x14ac:dyDescent="0.25">
      <c r="A50" s="27" t="s">
        <v>6</v>
      </c>
      <c r="B50" s="307" t="s">
        <v>206</v>
      </c>
      <c r="C50" s="308"/>
      <c r="D50" s="220">
        <v>140</v>
      </c>
      <c r="E50" s="95">
        <f>D50/12</f>
        <v>11.666666666666666</v>
      </c>
    </row>
    <row r="51" spans="1:6" x14ac:dyDescent="0.25">
      <c r="A51" s="27" t="s">
        <v>31</v>
      </c>
      <c r="B51" s="304" t="s">
        <v>207</v>
      </c>
      <c r="C51" s="304"/>
      <c r="D51" s="219">
        <v>175</v>
      </c>
      <c r="E51" s="95">
        <f>D51/12</f>
        <v>14.583333333333334</v>
      </c>
    </row>
    <row r="52" spans="1:6" x14ac:dyDescent="0.25">
      <c r="A52" s="291" t="s">
        <v>32</v>
      </c>
      <c r="B52" s="301" t="s">
        <v>39</v>
      </c>
      <c r="C52" s="304"/>
      <c r="D52" s="304"/>
      <c r="E52" s="43"/>
    </row>
    <row r="53" spans="1:6" x14ac:dyDescent="0.25">
      <c r="A53" s="291"/>
      <c r="B53" s="302"/>
      <c r="C53" s="304"/>
      <c r="D53" s="304"/>
      <c r="E53" s="43"/>
    </row>
    <row r="54" spans="1:6" x14ac:dyDescent="0.25">
      <c r="A54" s="291"/>
      <c r="B54" s="303"/>
      <c r="C54" s="304"/>
      <c r="D54" s="304"/>
      <c r="E54" s="43"/>
    </row>
    <row r="55" spans="1:6" x14ac:dyDescent="0.25">
      <c r="A55" s="234" t="s">
        <v>48</v>
      </c>
      <c r="B55" s="234"/>
      <c r="C55" s="234"/>
      <c r="D55" s="234"/>
      <c r="E55" s="3">
        <f>E42+E45+E48+E50+E51+E52</f>
        <v>740.45799999999997</v>
      </c>
    </row>
    <row r="56" spans="1:6" x14ac:dyDescent="0.25">
      <c r="A56" s="8" t="s">
        <v>27</v>
      </c>
      <c r="B56" s="292" t="s">
        <v>49</v>
      </c>
      <c r="C56" s="292"/>
      <c r="D56" s="292"/>
      <c r="E56" s="293"/>
    </row>
    <row r="57" spans="1:6" x14ac:dyDescent="0.25">
      <c r="A57" s="6"/>
      <c r="B57" s="247" t="s">
        <v>50</v>
      </c>
      <c r="C57" s="247"/>
      <c r="D57" s="247"/>
      <c r="E57" s="248"/>
    </row>
    <row r="59" spans="1:6" x14ac:dyDescent="0.25">
      <c r="A59" s="231" t="s">
        <v>51</v>
      </c>
      <c r="B59" s="231"/>
      <c r="C59" s="231" t="s">
        <v>185</v>
      </c>
      <c r="D59" s="231"/>
      <c r="E59" s="231"/>
    </row>
    <row r="60" spans="1:6" x14ac:dyDescent="0.25">
      <c r="A60" s="28">
        <v>3</v>
      </c>
      <c r="B60" s="234" t="s">
        <v>53</v>
      </c>
      <c r="C60" s="234"/>
      <c r="D60" s="234"/>
      <c r="E60" s="28" t="s">
        <v>41</v>
      </c>
    </row>
    <row r="61" spans="1:6" x14ac:dyDescent="0.25">
      <c r="A61" s="237" t="s">
        <v>3</v>
      </c>
      <c r="B61" s="294" t="s">
        <v>165</v>
      </c>
      <c r="C61" s="82" t="s">
        <v>167</v>
      </c>
      <c r="D61" s="82" t="s">
        <v>166</v>
      </c>
      <c r="E61" s="296">
        <f>(D17/C62)*D62</f>
        <v>2563.1760000000004</v>
      </c>
    </row>
    <row r="62" spans="1:6" x14ac:dyDescent="0.25">
      <c r="A62" s="238"/>
      <c r="B62" s="295"/>
      <c r="C62" s="98">
        <v>3</v>
      </c>
      <c r="D62" s="99">
        <v>4.5990000000000002</v>
      </c>
      <c r="E62" s="297"/>
      <c r="F62" s="87"/>
    </row>
    <row r="63" spans="1:6" x14ac:dyDescent="0.25">
      <c r="A63" s="210" t="s">
        <v>4</v>
      </c>
      <c r="B63" s="211" t="s">
        <v>195</v>
      </c>
      <c r="C63" s="83" t="s">
        <v>169</v>
      </c>
      <c r="D63" s="100">
        <v>2500</v>
      </c>
      <c r="E63" s="80">
        <f>D63/12</f>
        <v>208.33333333333334</v>
      </c>
      <c r="F63" s="87"/>
    </row>
    <row r="64" spans="1:6" x14ac:dyDescent="0.25">
      <c r="A64" s="15" t="s">
        <v>5</v>
      </c>
      <c r="B64" s="78" t="s">
        <v>194</v>
      </c>
      <c r="C64" s="83" t="s">
        <v>169</v>
      </c>
      <c r="D64" s="100">
        <f>(C74*1.5%)</f>
        <v>1500</v>
      </c>
      <c r="E64" s="80">
        <f>D64/12</f>
        <v>125</v>
      </c>
    </row>
    <row r="65" spans="1:6" x14ac:dyDescent="0.25">
      <c r="A65" s="210" t="s">
        <v>6</v>
      </c>
      <c r="B65" s="211" t="s">
        <v>196</v>
      </c>
      <c r="C65" s="83" t="s">
        <v>169</v>
      </c>
      <c r="D65" s="100">
        <v>0</v>
      </c>
      <c r="E65" s="215">
        <v>0</v>
      </c>
    </row>
    <row r="66" spans="1:6" x14ac:dyDescent="0.25">
      <c r="A66" s="210" t="s">
        <v>31</v>
      </c>
      <c r="B66" s="211" t="s">
        <v>197</v>
      </c>
      <c r="C66" s="83" t="s">
        <v>169</v>
      </c>
      <c r="D66" s="100">
        <v>226.86</v>
      </c>
      <c r="E66" s="215">
        <f>D66/12</f>
        <v>18.905000000000001</v>
      </c>
    </row>
    <row r="67" spans="1:6" x14ac:dyDescent="0.25">
      <c r="A67" s="210" t="s">
        <v>32</v>
      </c>
      <c r="B67" s="211" t="s">
        <v>198</v>
      </c>
      <c r="C67" s="83" t="s">
        <v>169</v>
      </c>
      <c r="D67" s="100">
        <v>127.84</v>
      </c>
      <c r="E67" s="215">
        <f>D67/12</f>
        <v>10.653333333333334</v>
      </c>
    </row>
    <row r="68" spans="1:6" x14ac:dyDescent="0.25">
      <c r="A68" s="210" t="s">
        <v>33</v>
      </c>
      <c r="B68" s="211" t="s">
        <v>199</v>
      </c>
      <c r="C68" s="83" t="s">
        <v>169</v>
      </c>
      <c r="D68" s="100">
        <v>450</v>
      </c>
      <c r="E68" s="215">
        <f>D68/12</f>
        <v>37.5</v>
      </c>
    </row>
    <row r="69" spans="1:6" x14ac:dyDescent="0.25">
      <c r="A69" s="300" t="s">
        <v>34</v>
      </c>
      <c r="B69" s="211" t="s">
        <v>203</v>
      </c>
      <c r="C69" s="216">
        <v>12600</v>
      </c>
      <c r="D69" s="100"/>
      <c r="E69" s="296">
        <f>C72</f>
        <v>421.34399999999999</v>
      </c>
    </row>
    <row r="70" spans="1:6" x14ac:dyDescent="0.25">
      <c r="A70" s="300"/>
      <c r="B70" s="211" t="s">
        <v>201</v>
      </c>
      <c r="C70" s="218">
        <v>50000</v>
      </c>
      <c r="D70" s="100"/>
      <c r="E70" s="299"/>
    </row>
    <row r="71" spans="1:6" x14ac:dyDescent="0.25">
      <c r="A71" s="300"/>
      <c r="B71" s="211" t="s">
        <v>202</v>
      </c>
      <c r="C71" s="217">
        <f>C69/C70</f>
        <v>0.252</v>
      </c>
      <c r="D71" s="100"/>
      <c r="E71" s="299"/>
    </row>
    <row r="72" spans="1:6" x14ac:dyDescent="0.25">
      <c r="A72" s="238"/>
      <c r="B72" s="211" t="s">
        <v>200</v>
      </c>
      <c r="C72" s="217">
        <f>C71*D17</f>
        <v>421.34399999999999</v>
      </c>
      <c r="D72" s="100"/>
      <c r="E72" s="297"/>
    </row>
    <row r="73" spans="1:6" x14ac:dyDescent="0.25">
      <c r="A73" s="291" t="s">
        <v>204</v>
      </c>
      <c r="B73" s="298" t="s">
        <v>170</v>
      </c>
      <c r="C73" s="83" t="s">
        <v>171</v>
      </c>
      <c r="D73" s="82" t="s">
        <v>183</v>
      </c>
      <c r="E73" s="239">
        <f>D74/12</f>
        <v>583.33333333333337</v>
      </c>
    </row>
    <row r="74" spans="1:6" ht="15" customHeight="1" x14ac:dyDescent="0.25">
      <c r="A74" s="291"/>
      <c r="B74" s="298"/>
      <c r="C74" s="101">
        <v>100000</v>
      </c>
      <c r="D74" s="81">
        <f>C74*7%</f>
        <v>7000.0000000000009</v>
      </c>
      <c r="E74" s="240"/>
    </row>
    <row r="75" spans="1:6" ht="15" customHeight="1" x14ac:dyDescent="0.25">
      <c r="A75" s="237" t="s">
        <v>205</v>
      </c>
      <c r="B75" s="235" t="s">
        <v>172</v>
      </c>
      <c r="C75" s="84" t="s">
        <v>147</v>
      </c>
      <c r="D75" s="86" t="s">
        <v>68</v>
      </c>
      <c r="E75" s="239">
        <f>C76*D76</f>
        <v>1281.5880000000002</v>
      </c>
    </row>
    <row r="76" spans="1:6" ht="15" customHeight="1" x14ac:dyDescent="0.25">
      <c r="A76" s="238"/>
      <c r="B76" s="236"/>
      <c r="C76" s="85">
        <f>E61</f>
        <v>2563.1760000000004</v>
      </c>
      <c r="D76" s="96">
        <v>0.5</v>
      </c>
      <c r="E76" s="240"/>
      <c r="F76" s="87"/>
    </row>
    <row r="77" spans="1:6" x14ac:dyDescent="0.25">
      <c r="A77" s="234" t="s">
        <v>55</v>
      </c>
      <c r="B77" s="234"/>
      <c r="C77" s="234"/>
      <c r="D77" s="234"/>
      <c r="E77" s="3">
        <f>SUM(E61:E76)</f>
        <v>5249.8330000000005</v>
      </c>
    </row>
    <row r="78" spans="1:6" x14ac:dyDescent="0.25">
      <c r="A78" s="29" t="s">
        <v>27</v>
      </c>
      <c r="B78" s="289" t="s">
        <v>186</v>
      </c>
      <c r="C78" s="289"/>
      <c r="D78" s="289"/>
      <c r="E78" s="290"/>
    </row>
    <row r="80" spans="1:6" x14ac:dyDescent="0.25">
      <c r="A80" s="231" t="s">
        <v>56</v>
      </c>
      <c r="B80" s="231"/>
      <c r="C80" s="231" t="s">
        <v>57</v>
      </c>
      <c r="D80" s="231"/>
      <c r="E80" s="231"/>
    </row>
    <row r="81" spans="1:5" x14ac:dyDescent="0.25">
      <c r="A81" s="264" t="s">
        <v>58</v>
      </c>
      <c r="B81" s="265"/>
      <c r="C81" s="264" t="s">
        <v>59</v>
      </c>
      <c r="D81" s="266"/>
      <c r="E81" s="265"/>
    </row>
    <row r="82" spans="1:5" x14ac:dyDescent="0.25">
      <c r="A82" s="28" t="s">
        <v>60</v>
      </c>
      <c r="B82" s="234" t="s">
        <v>59</v>
      </c>
      <c r="C82" s="234"/>
      <c r="D82" s="28" t="s">
        <v>68</v>
      </c>
      <c r="E82" s="28" t="s">
        <v>41</v>
      </c>
    </row>
    <row r="83" spans="1:5" x14ac:dyDescent="0.25">
      <c r="A83" s="27" t="s">
        <v>3</v>
      </c>
      <c r="B83" s="233" t="s">
        <v>61</v>
      </c>
      <c r="C83" s="233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3" t="s">
        <v>62</v>
      </c>
      <c r="C84" s="233"/>
      <c r="D84" s="9">
        <f>IF(D9=1,1.5%,IF(D9=2,1.5%,IF(D9=3,0%,IF(D9=4,0%,"RT Indefinido"))))</f>
        <v>0</v>
      </c>
      <c r="E84" s="22">
        <f>ROUND(E39*D84,2)</f>
        <v>0</v>
      </c>
    </row>
    <row r="85" spans="1:5" x14ac:dyDescent="0.25">
      <c r="A85" s="27" t="s">
        <v>5</v>
      </c>
      <c r="B85" s="233" t="s">
        <v>63</v>
      </c>
      <c r="C85" s="233"/>
      <c r="D85" s="9">
        <f>IF(D9=1,1%,IF(D9=2,1%,IF(D9=3,0%,IF(D9=4,0%,"RT Indefinido"))))</f>
        <v>0</v>
      </c>
      <c r="E85" s="22">
        <f>ROUND(E39*D85,2)</f>
        <v>0</v>
      </c>
    </row>
    <row r="86" spans="1:5" x14ac:dyDescent="0.25">
      <c r="A86" s="27" t="s">
        <v>6</v>
      </c>
      <c r="B86" s="287" t="s">
        <v>64</v>
      </c>
      <c r="C86" s="287"/>
      <c r="D86" s="89">
        <f>IF(D9=1,0.2%,IF(D9=2,0.2%,IF(D9=3,0%,IF(D9=4,0%,"RT Indefinido"))))</f>
        <v>0</v>
      </c>
      <c r="E86" s="90">
        <f>ROUND(E39*D86,2)</f>
        <v>0</v>
      </c>
    </row>
    <row r="87" spans="1:5" x14ac:dyDescent="0.25">
      <c r="A87" s="27" t="s">
        <v>31</v>
      </c>
      <c r="B87" s="233" t="s">
        <v>65</v>
      </c>
      <c r="C87" s="233"/>
      <c r="D87" s="9">
        <f>IF(D9=1,2.5%,IF(D9=2,2.5%,IF(D9=3,0%,IF(D9=4,0%,"RT Indefinido"))))</f>
        <v>0</v>
      </c>
      <c r="E87" s="22">
        <f>ROUND(E39*D87,2)</f>
        <v>0</v>
      </c>
    </row>
    <row r="88" spans="1:5" x14ac:dyDescent="0.25">
      <c r="A88" s="27" t="s">
        <v>32</v>
      </c>
      <c r="B88" s="244" t="s">
        <v>66</v>
      </c>
      <c r="C88" s="244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88" t="s">
        <v>143</v>
      </c>
      <c r="C89" s="288"/>
      <c r="D89" s="91">
        <v>0.03</v>
      </c>
      <c r="E89" s="63">
        <f>ROUND(E39*D89,2)</f>
        <v>60.14</v>
      </c>
    </row>
    <row r="90" spans="1:5" x14ac:dyDescent="0.25">
      <c r="A90" s="27" t="s">
        <v>34</v>
      </c>
      <c r="B90" s="244" t="s">
        <v>67</v>
      </c>
      <c r="C90" s="244"/>
      <c r="D90" s="9">
        <f>IF(D9=1,0.6%,IF(D9=2,0.6%,IF(D9=3,0%,IF(D9=4,0%,"RT Indefinido"))))</f>
        <v>0</v>
      </c>
      <c r="E90" s="22">
        <f>ROUND(E39*D90,2)</f>
        <v>0</v>
      </c>
    </row>
    <row r="91" spans="1:5" x14ac:dyDescent="0.25">
      <c r="A91" s="234" t="s">
        <v>77</v>
      </c>
      <c r="B91" s="234"/>
      <c r="C91" s="234"/>
      <c r="D91" s="11">
        <f>SUM(D83:D90)</f>
        <v>0.31000000000000005</v>
      </c>
      <c r="E91" s="3">
        <f>SUM(E83:E90)</f>
        <v>621.42999999999995</v>
      </c>
    </row>
    <row r="92" spans="1:5" x14ac:dyDescent="0.25">
      <c r="A92" s="8" t="s">
        <v>25</v>
      </c>
      <c r="B92" s="245" t="s">
        <v>69</v>
      </c>
      <c r="C92" s="245"/>
      <c r="D92" s="245"/>
      <c r="E92" s="246"/>
    </row>
    <row r="93" spans="1:5" x14ac:dyDescent="0.25">
      <c r="A93" s="12" t="s">
        <v>26</v>
      </c>
      <c r="B93" s="247" t="s">
        <v>70</v>
      </c>
      <c r="C93" s="247"/>
      <c r="D93" s="247"/>
      <c r="E93" s="248"/>
    </row>
    <row r="95" spans="1:5" x14ac:dyDescent="0.25">
      <c r="A95" s="264" t="s">
        <v>71</v>
      </c>
      <c r="B95" s="265"/>
      <c r="C95" s="264" t="s">
        <v>72</v>
      </c>
      <c r="D95" s="266"/>
      <c r="E95" s="265"/>
    </row>
    <row r="96" spans="1:5" x14ac:dyDescent="0.25">
      <c r="A96" s="28" t="s">
        <v>78</v>
      </c>
      <c r="B96" s="234" t="s">
        <v>72</v>
      </c>
      <c r="C96" s="234"/>
      <c r="D96" s="28" t="s">
        <v>68</v>
      </c>
      <c r="E96" s="28" t="s">
        <v>41</v>
      </c>
    </row>
    <row r="97" spans="1:6" x14ac:dyDescent="0.25">
      <c r="A97" s="27" t="s">
        <v>3</v>
      </c>
      <c r="B97" s="233" t="s">
        <v>73</v>
      </c>
      <c r="C97" s="233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3" t="s">
        <v>74</v>
      </c>
      <c r="C98" s="233"/>
      <c r="D98" s="9">
        <f>100/12/100/3</f>
        <v>2.777777777777778E-2</v>
      </c>
      <c r="E98" s="22">
        <f>ROUND(E39*D98,2)</f>
        <v>55.68</v>
      </c>
    </row>
    <row r="99" spans="1:6" x14ac:dyDescent="0.25">
      <c r="A99" s="228" t="s">
        <v>75</v>
      </c>
      <c r="B99" s="229"/>
      <c r="C99" s="286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37" t="s">
        <v>5</v>
      </c>
      <c r="B100" s="278" t="s">
        <v>76</v>
      </c>
      <c r="C100" s="279"/>
      <c r="D100" s="282">
        <f>ROUND((E100*D99)/E99,4)</f>
        <v>3.44E-2</v>
      </c>
      <c r="E100" s="284">
        <f>ROUND(E99*D91,2)</f>
        <v>69.05</v>
      </c>
    </row>
    <row r="101" spans="1:6" x14ac:dyDescent="0.25">
      <c r="A101" s="238"/>
      <c r="B101" s="280"/>
      <c r="C101" s="281"/>
      <c r="D101" s="283"/>
      <c r="E101" s="285"/>
    </row>
    <row r="102" spans="1:6" x14ac:dyDescent="0.25">
      <c r="A102" s="234" t="s">
        <v>77</v>
      </c>
      <c r="B102" s="234"/>
      <c r="C102" s="234"/>
      <c r="D102" s="11">
        <f>SUM(D99:D101)</f>
        <v>0.14551111111111112</v>
      </c>
      <c r="E102" s="3">
        <f>ROUND(SUM(E99:E101),2)</f>
        <v>291.77999999999997</v>
      </c>
    </row>
    <row r="104" spans="1:6" x14ac:dyDescent="0.25">
      <c r="A104" s="264" t="s">
        <v>79</v>
      </c>
      <c r="B104" s="265"/>
      <c r="C104" s="264" t="s">
        <v>81</v>
      </c>
      <c r="D104" s="266"/>
      <c r="E104" s="265"/>
      <c r="F104" s="486" t="s">
        <v>81</v>
      </c>
    </row>
    <row r="105" spans="1:6" x14ac:dyDescent="0.25">
      <c r="A105" s="28" t="s">
        <v>80</v>
      </c>
      <c r="B105" s="234" t="s">
        <v>81</v>
      </c>
      <c r="C105" s="234"/>
      <c r="D105" s="28" t="s">
        <v>68</v>
      </c>
      <c r="E105" s="28" t="s">
        <v>41</v>
      </c>
      <c r="F105" s="487" t="s">
        <v>161</v>
      </c>
    </row>
    <row r="106" spans="1:6" x14ac:dyDescent="0.25">
      <c r="A106" s="27" t="s">
        <v>3</v>
      </c>
      <c r="B106" s="233" t="s">
        <v>81</v>
      </c>
      <c r="C106" s="233"/>
      <c r="D106" s="16">
        <v>0</v>
      </c>
      <c r="E106" s="77">
        <v>0</v>
      </c>
    </row>
    <row r="107" spans="1:6" x14ac:dyDescent="0.25">
      <c r="A107" s="237" t="s">
        <v>4</v>
      </c>
      <c r="B107" s="278" t="s">
        <v>82</v>
      </c>
      <c r="C107" s="279"/>
      <c r="D107" s="282">
        <v>0</v>
      </c>
      <c r="E107" s="284">
        <f>ROUND(D91*E106,2)</f>
        <v>0</v>
      </c>
    </row>
    <row r="108" spans="1:6" x14ac:dyDescent="0.25">
      <c r="A108" s="238"/>
      <c r="B108" s="280"/>
      <c r="C108" s="281"/>
      <c r="D108" s="283"/>
      <c r="E108" s="285"/>
    </row>
    <row r="109" spans="1:6" x14ac:dyDescent="0.25">
      <c r="A109" s="234" t="s">
        <v>77</v>
      </c>
      <c r="B109" s="234"/>
      <c r="C109" s="234"/>
      <c r="D109" s="11">
        <f>SUM(D106:D108)</f>
        <v>0</v>
      </c>
      <c r="E109" s="3">
        <f>ROUND(SUM(E106:E108),2)</f>
        <v>0</v>
      </c>
    </row>
    <row r="111" spans="1:6" x14ac:dyDescent="0.25">
      <c r="A111" s="264" t="s">
        <v>83</v>
      </c>
      <c r="B111" s="265"/>
      <c r="C111" s="264" t="s">
        <v>85</v>
      </c>
      <c r="D111" s="266"/>
      <c r="E111" s="265"/>
    </row>
    <row r="112" spans="1:6" x14ac:dyDescent="0.25">
      <c r="A112" s="28" t="s">
        <v>84</v>
      </c>
      <c r="B112" s="234" t="s">
        <v>85</v>
      </c>
      <c r="C112" s="234"/>
      <c r="D112" s="28" t="s">
        <v>68</v>
      </c>
      <c r="E112" s="28" t="s">
        <v>41</v>
      </c>
    </row>
    <row r="113" spans="1:6" x14ac:dyDescent="0.25">
      <c r="A113" s="27" t="s">
        <v>3</v>
      </c>
      <c r="B113" s="233" t="s">
        <v>91</v>
      </c>
      <c r="C113" s="233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274" t="s">
        <v>144</v>
      </c>
      <c r="C114" s="275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3" t="s">
        <v>92</v>
      </c>
      <c r="C115" s="233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3" t="s">
        <v>93</v>
      </c>
      <c r="C116" s="233"/>
      <c r="D116" s="16">
        <f>ROUND(E116/E39,4)</f>
        <v>1.9400000000000001E-2</v>
      </c>
      <c r="E116" s="58">
        <f>ROUND(((E39/30)*7)/E14,2)</f>
        <v>38.979999999999997</v>
      </c>
    </row>
    <row r="117" spans="1:6" x14ac:dyDescent="0.25">
      <c r="A117" s="15" t="s">
        <v>31</v>
      </c>
      <c r="B117" s="274" t="s">
        <v>94</v>
      </c>
      <c r="C117" s="275"/>
      <c r="D117" s="23">
        <f>ROUND(E117/E39,4)</f>
        <v>6.0000000000000001E-3</v>
      </c>
      <c r="E117" s="57">
        <f>ROUND(E116*D91,2)</f>
        <v>12.08</v>
      </c>
    </row>
    <row r="118" spans="1:6" x14ac:dyDescent="0.25">
      <c r="A118" s="35" t="s">
        <v>6</v>
      </c>
      <c r="B118" s="276" t="s">
        <v>146</v>
      </c>
      <c r="C118" s="277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4" t="s">
        <v>77</v>
      </c>
      <c r="B119" s="234"/>
      <c r="C119" s="234"/>
      <c r="D119" s="17">
        <f>ROUND(SUM(D113:D118),4)</f>
        <v>7.9899999999999999E-2</v>
      </c>
      <c r="E119" s="3">
        <f>ROUND(SUM(E113:E118),2)</f>
        <v>160.31</v>
      </c>
    </row>
    <row r="121" spans="1:6" x14ac:dyDescent="0.25">
      <c r="A121" s="264" t="s">
        <v>95</v>
      </c>
      <c r="B121" s="265"/>
      <c r="C121" s="264" t="s">
        <v>97</v>
      </c>
      <c r="D121" s="266"/>
      <c r="E121" s="265"/>
      <c r="F121" s="486" t="s">
        <v>88</v>
      </c>
    </row>
    <row r="122" spans="1:6" x14ac:dyDescent="0.25">
      <c r="A122" s="30" t="s">
        <v>96</v>
      </c>
      <c r="B122" s="267" t="s">
        <v>98</v>
      </c>
      <c r="C122" s="268"/>
      <c r="D122" s="30" t="s">
        <v>68</v>
      </c>
      <c r="E122" s="30" t="s">
        <v>41</v>
      </c>
      <c r="F122" s="488" t="s">
        <v>161</v>
      </c>
    </row>
    <row r="123" spans="1:6" x14ac:dyDescent="0.25">
      <c r="A123" s="27" t="s">
        <v>3</v>
      </c>
      <c r="B123" s="233" t="s">
        <v>86</v>
      </c>
      <c r="C123" s="233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269" t="s">
        <v>87</v>
      </c>
      <c r="C124" s="270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3" t="s">
        <v>88</v>
      </c>
      <c r="C125" s="233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3" t="s">
        <v>89</v>
      </c>
      <c r="C126" s="233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5" t="s">
        <v>90</v>
      </c>
      <c r="C127" s="227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37" t="s">
        <v>32</v>
      </c>
      <c r="B128" s="258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38"/>
      <c r="B129" s="258"/>
      <c r="C129" s="2"/>
      <c r="D129" s="1">
        <v>0</v>
      </c>
      <c r="E129" s="65">
        <f>ROUND(E39*D129,2)</f>
        <v>0</v>
      </c>
    </row>
    <row r="130" spans="1:5" x14ac:dyDescent="0.25">
      <c r="A130" s="271" t="s">
        <v>75</v>
      </c>
      <c r="B130" s="272"/>
      <c r="C130" s="273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4" t="s">
        <v>99</v>
      </c>
      <c r="C131" s="275"/>
      <c r="D131" s="23">
        <f>ROUND(E131/E39,4)</f>
        <v>3.1199999999999999E-2</v>
      </c>
      <c r="E131" s="57">
        <f>ROUND(E130*D91,2)</f>
        <v>62.47</v>
      </c>
    </row>
    <row r="132" spans="1:5" x14ac:dyDescent="0.25">
      <c r="A132" s="234" t="s">
        <v>77</v>
      </c>
      <c r="B132" s="234"/>
      <c r="C132" s="234"/>
      <c r="D132" s="17">
        <f>ROUND(D130+D131,4)</f>
        <v>0.13170000000000001</v>
      </c>
      <c r="E132" s="3">
        <f>ROUND(E130+E131,2)</f>
        <v>263.98</v>
      </c>
    </row>
    <row r="134" spans="1:5" x14ac:dyDescent="0.25">
      <c r="A134" s="264" t="s">
        <v>100</v>
      </c>
      <c r="B134" s="265"/>
      <c r="C134" s="264" t="s">
        <v>101</v>
      </c>
      <c r="D134" s="266"/>
      <c r="E134" s="265"/>
    </row>
    <row r="135" spans="1:5" x14ac:dyDescent="0.25">
      <c r="A135" s="30">
        <v>4</v>
      </c>
      <c r="B135" s="267" t="s">
        <v>102</v>
      </c>
      <c r="C135" s="268"/>
      <c r="D135" s="30" t="s">
        <v>68</v>
      </c>
      <c r="E135" s="30" t="s">
        <v>41</v>
      </c>
    </row>
    <row r="136" spans="1:5" x14ac:dyDescent="0.25">
      <c r="A136" s="27" t="s">
        <v>60</v>
      </c>
      <c r="B136" s="233" t="s">
        <v>59</v>
      </c>
      <c r="C136" s="233"/>
      <c r="D136" s="16">
        <f>D91</f>
        <v>0.31000000000000005</v>
      </c>
      <c r="E136" s="22">
        <f>E91</f>
        <v>621.42999999999995</v>
      </c>
    </row>
    <row r="137" spans="1:5" x14ac:dyDescent="0.25">
      <c r="A137" s="15" t="s">
        <v>78</v>
      </c>
      <c r="B137" s="269" t="s">
        <v>72</v>
      </c>
      <c r="C137" s="270"/>
      <c r="D137" s="23">
        <f>D102</f>
        <v>0.14551111111111112</v>
      </c>
      <c r="E137" s="22">
        <f>E102</f>
        <v>291.77999999999997</v>
      </c>
    </row>
    <row r="138" spans="1:5" x14ac:dyDescent="0.25">
      <c r="A138" s="27" t="s">
        <v>80</v>
      </c>
      <c r="B138" s="233" t="s">
        <v>81</v>
      </c>
      <c r="C138" s="233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3" t="s">
        <v>85</v>
      </c>
      <c r="C139" s="233"/>
      <c r="D139" s="16">
        <f>D119</f>
        <v>7.9899999999999999E-2</v>
      </c>
      <c r="E139" s="22">
        <f>E119</f>
        <v>160.31</v>
      </c>
    </row>
    <row r="140" spans="1:5" x14ac:dyDescent="0.25">
      <c r="A140" s="27" t="s">
        <v>96</v>
      </c>
      <c r="B140" s="225" t="s">
        <v>104</v>
      </c>
      <c r="C140" s="227"/>
      <c r="D140" s="16">
        <f>D132</f>
        <v>0.13170000000000001</v>
      </c>
      <c r="E140" s="22">
        <f>E132</f>
        <v>263.98</v>
      </c>
    </row>
    <row r="141" spans="1:5" x14ac:dyDescent="0.25">
      <c r="A141" s="237" t="s">
        <v>103</v>
      </c>
      <c r="B141" s="258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38"/>
      <c r="B142" s="258"/>
      <c r="C142" s="46"/>
      <c r="D142" s="47">
        <v>0</v>
      </c>
      <c r="E142" s="65">
        <f>E55*D142</f>
        <v>0</v>
      </c>
    </row>
    <row r="143" spans="1:5" x14ac:dyDescent="0.25">
      <c r="A143" s="234" t="s">
        <v>77</v>
      </c>
      <c r="B143" s="234"/>
      <c r="C143" s="234"/>
      <c r="D143" s="17">
        <f>SUM(D136:D142)</f>
        <v>0.66711111111111121</v>
      </c>
      <c r="E143" s="3">
        <f>ROUND(SUM(E136:E142),2)</f>
        <v>1337.5</v>
      </c>
    </row>
    <row r="145" spans="1:6" x14ac:dyDescent="0.25">
      <c r="A145" s="231" t="s">
        <v>105</v>
      </c>
      <c r="B145" s="231"/>
      <c r="C145" s="231" t="s">
        <v>106</v>
      </c>
      <c r="D145" s="231"/>
      <c r="E145" s="231"/>
    </row>
    <row r="146" spans="1:6" x14ac:dyDescent="0.25">
      <c r="A146" s="28">
        <v>5</v>
      </c>
      <c r="B146" s="234" t="s">
        <v>107</v>
      </c>
      <c r="C146" s="234"/>
      <c r="D146" s="28" t="s">
        <v>68</v>
      </c>
      <c r="E146" s="28" t="s">
        <v>41</v>
      </c>
    </row>
    <row r="147" spans="1:6" x14ac:dyDescent="0.25">
      <c r="A147" s="237" t="s">
        <v>3</v>
      </c>
      <c r="B147" s="241" t="s">
        <v>151</v>
      </c>
      <c r="C147" s="242"/>
      <c r="D147" s="243"/>
      <c r="E147" s="56">
        <f>E39+E55+E77+E143</f>
        <v>9332.3810000000012</v>
      </c>
    </row>
    <row r="148" spans="1:6" x14ac:dyDescent="0.25">
      <c r="A148" s="238"/>
      <c r="B148" s="233" t="s">
        <v>108</v>
      </c>
      <c r="C148" s="233"/>
      <c r="D148" s="60">
        <v>5.8999999999999997E-2</v>
      </c>
      <c r="E148" s="24">
        <f>E147*D148</f>
        <v>550.61047900000005</v>
      </c>
    </row>
    <row r="149" spans="1:6" x14ac:dyDescent="0.25">
      <c r="A149" s="249" t="s">
        <v>4</v>
      </c>
      <c r="B149" s="252" t="s">
        <v>109</v>
      </c>
      <c r="C149" s="253"/>
      <c r="D149" s="253"/>
      <c r="E149" s="254"/>
    </row>
    <row r="150" spans="1:6" x14ac:dyDescent="0.25">
      <c r="A150" s="250"/>
      <c r="B150" s="255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0"/>
      <c r="B151" s="256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0"/>
      <c r="B152" s="256"/>
      <c r="C152" s="7" t="s">
        <v>111</v>
      </c>
      <c r="D152" s="9">
        <v>0.03</v>
      </c>
      <c r="E152" s="24">
        <f>ROUND((E174+E148+E162)/(1-D160)*D152,2)</f>
        <v>412.89</v>
      </c>
    </row>
    <row r="153" spans="1:6" x14ac:dyDescent="0.25">
      <c r="A153" s="250"/>
      <c r="B153" s="257"/>
      <c r="C153" s="19" t="s">
        <v>113</v>
      </c>
      <c r="D153" s="9">
        <v>6.4999999999999997E-3</v>
      </c>
      <c r="E153" s="24">
        <f>ROUND((E174+E148+E162)/(1-D160)*D153,2)</f>
        <v>89.46</v>
      </c>
    </row>
    <row r="154" spans="1:6" x14ac:dyDescent="0.25">
      <c r="A154" s="250"/>
      <c r="B154" s="258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0"/>
      <c r="B155" s="258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0"/>
      <c r="B156" s="259" t="s">
        <v>115</v>
      </c>
      <c r="C156" s="19" t="s">
        <v>116</v>
      </c>
      <c r="D156" s="44">
        <v>0.03</v>
      </c>
      <c r="E156" s="24">
        <f>ROUND((E174+E148+E162)/(1-D160)*D156,2)</f>
        <v>412.89</v>
      </c>
    </row>
    <row r="157" spans="1:6" x14ac:dyDescent="0.25">
      <c r="A157" s="250"/>
      <c r="B157" s="259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0"/>
      <c r="B158" s="260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0"/>
      <c r="B159" s="261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1"/>
      <c r="B160" s="262" t="s">
        <v>145</v>
      </c>
      <c r="C160" s="263"/>
      <c r="D160" s="18">
        <f>SUM(D150:D159)</f>
        <v>6.6500000000000004E-2</v>
      </c>
      <c r="E160" s="3">
        <f>ROUND(((E174+E148+E162)/(1-D160))*D160,2)</f>
        <v>915.25</v>
      </c>
      <c r="F160" s="88"/>
    </row>
    <row r="161" spans="1:6" x14ac:dyDescent="0.25">
      <c r="A161" s="237" t="s">
        <v>5</v>
      </c>
      <c r="B161" s="241" t="s">
        <v>152</v>
      </c>
      <c r="C161" s="242"/>
      <c r="D161" s="243"/>
      <c r="E161" s="56">
        <f>E39+E55+E77+E143+E148</f>
        <v>9882.9914790000021</v>
      </c>
    </row>
    <row r="162" spans="1:6" x14ac:dyDescent="0.25">
      <c r="A162" s="238"/>
      <c r="B162" s="244" t="s">
        <v>118</v>
      </c>
      <c r="C162" s="244"/>
      <c r="D162" s="64">
        <v>0.3</v>
      </c>
      <c r="E162" s="24">
        <f>(E161*D162)</f>
        <v>2964.8974437000006</v>
      </c>
    </row>
    <row r="163" spans="1:6" x14ac:dyDescent="0.25">
      <c r="A163" s="234" t="s">
        <v>77</v>
      </c>
      <c r="B163" s="234"/>
      <c r="C163" s="234"/>
      <c r="D163" s="11">
        <f>ROUND(SUM(D148+D160+D162),4)</f>
        <v>0.42549999999999999</v>
      </c>
      <c r="E163" s="3">
        <f>E148+E160+E162</f>
        <v>4430.7579227000006</v>
      </c>
    </row>
    <row r="164" spans="1:6" x14ac:dyDescent="0.25">
      <c r="A164" s="8" t="s">
        <v>25</v>
      </c>
      <c r="B164" s="245" t="s">
        <v>119</v>
      </c>
      <c r="C164" s="245"/>
      <c r="D164" s="245"/>
      <c r="E164" s="246"/>
    </row>
    <row r="165" spans="1:6" x14ac:dyDescent="0.25">
      <c r="A165" s="12" t="s">
        <v>26</v>
      </c>
      <c r="B165" s="247" t="s">
        <v>120</v>
      </c>
      <c r="C165" s="247"/>
      <c r="D165" s="247"/>
      <c r="E165" s="248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0" t="s">
        <v>178</v>
      </c>
      <c r="B167" s="230"/>
      <c r="C167" s="230"/>
      <c r="D167" s="230"/>
      <c r="E167" s="230"/>
    </row>
    <row r="168" spans="1:6" x14ac:dyDescent="0.25">
      <c r="A168" s="231" t="s">
        <v>121</v>
      </c>
      <c r="B168" s="231"/>
      <c r="C168" s="231"/>
      <c r="D168" s="231"/>
      <c r="E168" s="231"/>
    </row>
    <row r="169" spans="1:6" x14ac:dyDescent="0.25">
      <c r="A169" s="232" t="s">
        <v>122</v>
      </c>
      <c r="B169" s="232"/>
      <c r="C169" s="232"/>
      <c r="D169" s="232"/>
      <c r="E169" s="69" t="s">
        <v>129</v>
      </c>
    </row>
    <row r="170" spans="1:6" x14ac:dyDescent="0.25">
      <c r="A170" s="27" t="s">
        <v>3</v>
      </c>
      <c r="B170" s="233" t="s">
        <v>125</v>
      </c>
      <c r="C170" s="233"/>
      <c r="D170" s="233"/>
      <c r="E170" s="25">
        <f>E39</f>
        <v>2004.59</v>
      </c>
    </row>
    <row r="171" spans="1:6" x14ac:dyDescent="0.25">
      <c r="A171" s="27" t="s">
        <v>4</v>
      </c>
      <c r="B171" s="233" t="s">
        <v>126</v>
      </c>
      <c r="C171" s="233"/>
      <c r="D171" s="233"/>
      <c r="E171" s="25">
        <f>E55</f>
        <v>740.45799999999997</v>
      </c>
    </row>
    <row r="172" spans="1:6" x14ac:dyDescent="0.25">
      <c r="A172" s="27" t="s">
        <v>5</v>
      </c>
      <c r="B172" s="233" t="s">
        <v>127</v>
      </c>
      <c r="C172" s="233"/>
      <c r="D172" s="233"/>
      <c r="E172" s="25">
        <f>E77</f>
        <v>5249.8330000000005</v>
      </c>
    </row>
    <row r="173" spans="1:6" x14ac:dyDescent="0.25">
      <c r="A173" s="27" t="s">
        <v>6</v>
      </c>
      <c r="B173" s="233" t="s">
        <v>102</v>
      </c>
      <c r="C173" s="233"/>
      <c r="D173" s="233"/>
      <c r="E173" s="25">
        <f>E143</f>
        <v>1337.5</v>
      </c>
    </row>
    <row r="174" spans="1:6" x14ac:dyDescent="0.25">
      <c r="A174" s="234" t="s">
        <v>123</v>
      </c>
      <c r="B174" s="234"/>
      <c r="C174" s="234"/>
      <c r="D174" s="234"/>
      <c r="E174" s="20">
        <f>SUM(E170:E173)</f>
        <v>9332.3810000000012</v>
      </c>
    </row>
    <row r="175" spans="1:6" x14ac:dyDescent="0.25">
      <c r="A175" s="27" t="s">
        <v>31</v>
      </c>
      <c r="B175" s="225" t="s">
        <v>128</v>
      </c>
      <c r="C175" s="226"/>
      <c r="D175" s="227"/>
      <c r="E175" s="25">
        <f>E163</f>
        <v>4430.7579227000006</v>
      </c>
    </row>
    <row r="176" spans="1:6" x14ac:dyDescent="0.25">
      <c r="A176" s="228" t="s">
        <v>124</v>
      </c>
      <c r="B176" s="229"/>
      <c r="C176" s="229"/>
      <c r="D176" s="229"/>
      <c r="E176" s="21">
        <f>E174+E175</f>
        <v>13763.138922700002</v>
      </c>
      <c r="F176" s="88"/>
    </row>
    <row r="177" spans="1:5" x14ac:dyDescent="0.25">
      <c r="A177" s="228" t="s">
        <v>175</v>
      </c>
      <c r="B177" s="229"/>
      <c r="C177" s="229"/>
      <c r="D177" s="229"/>
      <c r="E177" s="21">
        <f>ROUND((E176/D18),2)</f>
        <v>8.23</v>
      </c>
    </row>
    <row r="179" spans="1:5" x14ac:dyDescent="0.25">
      <c r="B179" s="338" t="s">
        <v>159</v>
      </c>
      <c r="C179" s="338"/>
      <c r="D179" s="338"/>
      <c r="E179" s="338"/>
    </row>
    <row r="180" spans="1:5" x14ac:dyDescent="0.25">
      <c r="B180" s="341" t="s">
        <v>155</v>
      </c>
      <c r="C180" s="341"/>
      <c r="D180" s="339" t="s">
        <v>160</v>
      </c>
      <c r="E180" s="339"/>
    </row>
    <row r="181" spans="1:5" x14ac:dyDescent="0.25">
      <c r="B181" s="72" t="s">
        <v>156</v>
      </c>
      <c r="C181" s="72" t="s">
        <v>157</v>
      </c>
      <c r="D181" s="340">
        <v>200000</v>
      </c>
      <c r="E181" s="340"/>
    </row>
    <row r="182" spans="1:5" x14ac:dyDescent="0.25">
      <c r="B182" s="72" t="s">
        <v>111</v>
      </c>
      <c r="C182" s="67">
        <v>0</v>
      </c>
      <c r="D182" s="221" t="s">
        <v>176</v>
      </c>
      <c r="E182" s="222"/>
    </row>
    <row r="183" spans="1:5" x14ac:dyDescent="0.25">
      <c r="B183" s="72" t="s">
        <v>113</v>
      </c>
      <c r="C183" s="67">
        <v>0</v>
      </c>
      <c r="D183" s="223"/>
      <c r="E183" s="224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2" t="s">
        <v>179</v>
      </c>
      <c r="B1" s="482"/>
      <c r="C1" s="482"/>
      <c r="D1" s="482"/>
      <c r="E1" s="482"/>
      <c r="F1" s="102"/>
      <c r="G1" s="102"/>
    </row>
    <row r="2" spans="1:7" x14ac:dyDescent="0.25">
      <c r="A2" s="374"/>
      <c r="B2" s="374"/>
      <c r="C2" s="374"/>
      <c r="D2" s="374"/>
      <c r="E2" s="374"/>
      <c r="F2" s="102"/>
      <c r="G2" s="102"/>
    </row>
    <row r="3" spans="1:7" x14ac:dyDescent="0.25">
      <c r="A3" s="370" t="s">
        <v>184</v>
      </c>
      <c r="B3" s="371"/>
      <c r="C3" s="371"/>
      <c r="D3" s="371"/>
      <c r="E3" s="423"/>
      <c r="F3" s="102"/>
      <c r="G3" s="102"/>
    </row>
    <row r="4" spans="1:7" x14ac:dyDescent="0.25">
      <c r="A4" s="109" t="s">
        <v>135</v>
      </c>
      <c r="B4" s="483"/>
      <c r="C4" s="484"/>
      <c r="D4" s="110" t="s">
        <v>136</v>
      </c>
      <c r="E4" s="111"/>
      <c r="F4" s="102"/>
      <c r="G4" s="102"/>
    </row>
    <row r="5" spans="1:7" x14ac:dyDescent="0.25">
      <c r="A5" s="109" t="s">
        <v>0</v>
      </c>
      <c r="B5" s="112"/>
      <c r="C5" s="113" t="s">
        <v>1</v>
      </c>
      <c r="D5" s="114">
        <v>0.375</v>
      </c>
      <c r="E5" s="113" t="s">
        <v>2</v>
      </c>
      <c r="F5" s="102"/>
      <c r="G5" s="102"/>
    </row>
    <row r="6" spans="1:7" x14ac:dyDescent="0.25">
      <c r="A6" s="470" t="s">
        <v>137</v>
      </c>
      <c r="B6" s="470"/>
      <c r="C6" s="470"/>
      <c r="D6" s="470"/>
      <c r="E6" s="470"/>
      <c r="F6" s="102"/>
      <c r="G6" s="102"/>
    </row>
    <row r="7" spans="1:7" x14ac:dyDescent="0.25">
      <c r="A7" s="473" t="s">
        <v>138</v>
      </c>
      <c r="B7" s="473"/>
      <c r="C7" s="485"/>
      <c r="D7" s="485"/>
      <c r="E7" s="485"/>
      <c r="F7" s="102"/>
      <c r="G7" s="102"/>
    </row>
    <row r="8" spans="1:7" x14ac:dyDescent="0.25">
      <c r="A8" s="473" t="s">
        <v>139</v>
      </c>
      <c r="B8" s="473"/>
      <c r="C8" s="474"/>
      <c r="D8" s="475"/>
      <c r="E8" s="476"/>
      <c r="F8" s="102"/>
      <c r="G8" s="102"/>
    </row>
    <row r="9" spans="1:7" x14ac:dyDescent="0.25">
      <c r="A9" s="477" t="s">
        <v>140</v>
      </c>
      <c r="B9" s="478"/>
      <c r="C9" s="479"/>
      <c r="D9" s="115">
        <v>4</v>
      </c>
      <c r="E9" s="116" t="str">
        <f>IF(D9=1,"Lucro Real",IF(D9=2,"Lucro Presumido",IF(D9=3,"SIMPLES-Anexo III",IF(D9=4,"SIMPLES-Anexo IV","RT Inválido"))))</f>
        <v>SIMPLES-Anexo IV</v>
      </c>
      <c r="F9" s="102"/>
      <c r="G9" s="102"/>
    </row>
    <row r="10" spans="1:7" x14ac:dyDescent="0.25">
      <c r="A10" s="470" t="s">
        <v>174</v>
      </c>
      <c r="B10" s="470"/>
      <c r="C10" s="470"/>
      <c r="D10" s="470"/>
      <c r="E10" s="470"/>
      <c r="F10" s="102"/>
      <c r="G10" s="102"/>
    </row>
    <row r="11" spans="1:7" x14ac:dyDescent="0.25">
      <c r="A11" s="117" t="s">
        <v>3</v>
      </c>
      <c r="B11" s="365" t="s">
        <v>7</v>
      </c>
      <c r="C11" s="365"/>
      <c r="D11" s="365"/>
      <c r="E11" s="118"/>
      <c r="F11" s="102"/>
      <c r="G11" s="102"/>
    </row>
    <row r="12" spans="1:7" x14ac:dyDescent="0.25">
      <c r="A12" s="117" t="s">
        <v>4</v>
      </c>
      <c r="B12" s="367" t="s">
        <v>8</v>
      </c>
      <c r="C12" s="368"/>
      <c r="D12" s="480" t="s">
        <v>180</v>
      </c>
      <c r="E12" s="481"/>
      <c r="F12" s="102"/>
      <c r="G12" s="102"/>
    </row>
    <row r="13" spans="1:7" x14ac:dyDescent="0.25">
      <c r="A13" s="117" t="s">
        <v>5</v>
      </c>
      <c r="B13" s="365" t="s">
        <v>9</v>
      </c>
      <c r="C13" s="365"/>
      <c r="D13" s="365"/>
      <c r="E13" s="119" t="s">
        <v>181</v>
      </c>
      <c r="F13" s="102"/>
      <c r="G13" s="102"/>
    </row>
    <row r="14" spans="1:7" x14ac:dyDescent="0.25">
      <c r="A14" s="117" t="s">
        <v>6</v>
      </c>
      <c r="B14" s="365" t="s">
        <v>10</v>
      </c>
      <c r="C14" s="365"/>
      <c r="D14" s="365"/>
      <c r="E14" s="120">
        <v>10</v>
      </c>
      <c r="F14" s="102"/>
      <c r="G14" s="102"/>
    </row>
    <row r="15" spans="1:7" x14ac:dyDescent="0.25">
      <c r="A15" s="470" t="s">
        <v>134</v>
      </c>
      <c r="B15" s="470"/>
      <c r="C15" s="470"/>
      <c r="D15" s="470"/>
      <c r="E15" s="470"/>
      <c r="F15" s="102"/>
      <c r="G15" s="102"/>
    </row>
    <row r="16" spans="1:7" x14ac:dyDescent="0.25">
      <c r="A16" s="376" t="s">
        <v>11</v>
      </c>
      <c r="B16" s="376"/>
      <c r="C16" s="121" t="s">
        <v>12</v>
      </c>
      <c r="D16" s="376" t="s">
        <v>13</v>
      </c>
      <c r="E16" s="376"/>
      <c r="F16" s="102"/>
      <c r="G16" s="102"/>
    </row>
    <row r="17" spans="1:7" x14ac:dyDescent="0.25">
      <c r="A17" s="376" t="s">
        <v>163</v>
      </c>
      <c r="B17" s="376"/>
      <c r="C17" s="122" t="s">
        <v>182</v>
      </c>
      <c r="D17" s="471">
        <v>750.64</v>
      </c>
      <c r="E17" s="472"/>
      <c r="F17" s="102"/>
      <c r="G17" s="102"/>
    </row>
    <row r="18" spans="1:7" x14ac:dyDescent="0.25">
      <c r="A18" s="463" t="s">
        <v>153</v>
      </c>
      <c r="B18" s="464"/>
      <c r="C18" s="465"/>
      <c r="D18" s="466">
        <f>SUM(D17)</f>
        <v>750.64</v>
      </c>
      <c r="E18" s="467"/>
      <c r="F18" s="102"/>
      <c r="G18" s="102"/>
    </row>
    <row r="19" spans="1:7" x14ac:dyDescent="0.25">
      <c r="A19" s="123" t="s">
        <v>25</v>
      </c>
      <c r="B19" s="385" t="s">
        <v>14</v>
      </c>
      <c r="C19" s="385"/>
      <c r="D19" s="385"/>
      <c r="E19" s="386"/>
      <c r="F19" s="102"/>
      <c r="G19" s="102"/>
    </row>
    <row r="20" spans="1:7" x14ac:dyDescent="0.25">
      <c r="A20" s="124"/>
      <c r="B20" s="468" t="s">
        <v>15</v>
      </c>
      <c r="C20" s="468"/>
      <c r="D20" s="468"/>
      <c r="E20" s="469"/>
      <c r="F20" s="102"/>
      <c r="G20" s="102"/>
    </row>
    <row r="21" spans="1:7" x14ac:dyDescent="0.25">
      <c r="A21" s="123" t="s">
        <v>26</v>
      </c>
      <c r="B21" s="385" t="s">
        <v>16</v>
      </c>
      <c r="C21" s="385"/>
      <c r="D21" s="385"/>
      <c r="E21" s="386"/>
      <c r="F21" s="102"/>
      <c r="G21" s="102"/>
    </row>
    <row r="22" spans="1:7" x14ac:dyDescent="0.25">
      <c r="A22" s="124"/>
      <c r="B22" s="372" t="s">
        <v>17</v>
      </c>
      <c r="C22" s="372"/>
      <c r="D22" s="372"/>
      <c r="E22" s="373"/>
      <c r="F22" s="102"/>
      <c r="G22" s="102"/>
    </row>
    <row r="23" spans="1:7" x14ac:dyDescent="0.25">
      <c r="A23" s="125"/>
      <c r="B23" s="125"/>
      <c r="C23" s="125"/>
      <c r="D23" s="125"/>
      <c r="E23" s="125"/>
      <c r="F23" s="102"/>
      <c r="G23" s="102"/>
    </row>
    <row r="24" spans="1:7" x14ac:dyDescent="0.25">
      <c r="A24" s="374" t="s">
        <v>177</v>
      </c>
      <c r="B24" s="374"/>
      <c r="C24" s="374"/>
      <c r="D24" s="374"/>
      <c r="E24" s="374"/>
      <c r="F24" s="102"/>
      <c r="G24" s="102"/>
    </row>
    <row r="25" spans="1:7" x14ac:dyDescent="0.25">
      <c r="A25" s="375" t="s">
        <v>18</v>
      </c>
      <c r="B25" s="375"/>
      <c r="C25" s="375"/>
      <c r="D25" s="375"/>
      <c r="E25" s="375"/>
      <c r="F25" s="102"/>
      <c r="G25" s="102"/>
    </row>
    <row r="26" spans="1:7" x14ac:dyDescent="0.25">
      <c r="A26" s="366" t="s">
        <v>19</v>
      </c>
      <c r="B26" s="366"/>
      <c r="C26" s="366"/>
      <c r="D26" s="366"/>
      <c r="E26" s="366"/>
      <c r="F26" s="102"/>
      <c r="G26" s="102"/>
    </row>
    <row r="27" spans="1:7" x14ac:dyDescent="0.25">
      <c r="A27" s="365" t="s">
        <v>20</v>
      </c>
      <c r="B27" s="365"/>
      <c r="C27" s="365"/>
      <c r="D27" s="365"/>
      <c r="E27" s="365"/>
      <c r="F27" s="102"/>
      <c r="G27" s="102"/>
    </row>
    <row r="28" spans="1:7" x14ac:dyDescent="0.25">
      <c r="A28" s="117">
        <v>1</v>
      </c>
      <c r="B28" s="365" t="s">
        <v>21</v>
      </c>
      <c r="C28" s="365"/>
      <c r="D28" s="365"/>
      <c r="E28" s="126" t="s">
        <v>163</v>
      </c>
      <c r="F28" s="102"/>
      <c r="G28" s="102"/>
    </row>
    <row r="29" spans="1:7" x14ac:dyDescent="0.25">
      <c r="A29" s="117">
        <v>2</v>
      </c>
      <c r="B29" s="365" t="s">
        <v>22</v>
      </c>
      <c r="C29" s="365"/>
      <c r="D29" s="365"/>
      <c r="E29" s="127">
        <v>1869</v>
      </c>
      <c r="F29" s="102"/>
      <c r="G29" s="102"/>
    </row>
    <row r="30" spans="1:7" x14ac:dyDescent="0.25">
      <c r="A30" s="117">
        <v>3</v>
      </c>
      <c r="B30" s="365" t="s">
        <v>23</v>
      </c>
      <c r="C30" s="365"/>
      <c r="D30" s="365"/>
      <c r="E30" s="126" t="s">
        <v>164</v>
      </c>
      <c r="F30" s="102"/>
      <c r="G30" s="102"/>
    </row>
    <row r="31" spans="1:7" x14ac:dyDescent="0.25">
      <c r="A31" s="117">
        <v>4</v>
      </c>
      <c r="B31" s="365" t="s">
        <v>24</v>
      </c>
      <c r="C31" s="365"/>
      <c r="D31" s="365"/>
      <c r="E31" s="128">
        <v>43831</v>
      </c>
      <c r="F31" s="102"/>
      <c r="G31" s="102"/>
    </row>
    <row r="32" spans="1:7" x14ac:dyDescent="0.25">
      <c r="A32" s="129" t="s">
        <v>27</v>
      </c>
      <c r="B32" s="426" t="s">
        <v>28</v>
      </c>
      <c r="C32" s="426"/>
      <c r="D32" s="426"/>
      <c r="E32" s="427"/>
      <c r="F32" s="102"/>
      <c r="G32" s="102"/>
    </row>
    <row r="33" spans="1:7" x14ac:dyDescent="0.25">
      <c r="A33" s="375" t="s">
        <v>29</v>
      </c>
      <c r="B33" s="375"/>
      <c r="C33" s="375" t="s">
        <v>30</v>
      </c>
      <c r="D33" s="375"/>
      <c r="E33" s="375"/>
      <c r="F33" s="102"/>
      <c r="G33" s="102"/>
    </row>
    <row r="34" spans="1:7" x14ac:dyDescent="0.25">
      <c r="A34" s="130">
        <v>1</v>
      </c>
      <c r="B34" s="366" t="s">
        <v>35</v>
      </c>
      <c r="C34" s="366"/>
      <c r="D34" s="366"/>
      <c r="E34" s="130" t="s">
        <v>41</v>
      </c>
      <c r="F34" s="102"/>
      <c r="G34" s="102"/>
    </row>
    <row r="35" spans="1:7" x14ac:dyDescent="0.25">
      <c r="A35" s="131" t="s">
        <v>3</v>
      </c>
      <c r="B35" s="456" t="s">
        <v>36</v>
      </c>
      <c r="C35" s="456"/>
      <c r="D35" s="456"/>
      <c r="E35" s="132">
        <v>1869</v>
      </c>
      <c r="F35" s="102"/>
      <c r="G35" s="102"/>
    </row>
    <row r="36" spans="1:7" x14ac:dyDescent="0.25">
      <c r="A36" s="131" t="s">
        <v>4</v>
      </c>
      <c r="B36" s="456" t="s">
        <v>38</v>
      </c>
      <c r="C36" s="456"/>
      <c r="D36" s="456"/>
      <c r="E36" s="133">
        <v>0</v>
      </c>
      <c r="F36" s="102"/>
      <c r="G36" s="102"/>
    </row>
    <row r="37" spans="1:7" x14ac:dyDescent="0.25">
      <c r="A37" s="457" t="s">
        <v>5</v>
      </c>
      <c r="B37" s="459" t="s">
        <v>37</v>
      </c>
      <c r="C37" s="134" t="s">
        <v>147</v>
      </c>
      <c r="D37" s="135">
        <v>1869</v>
      </c>
      <c r="E37" s="461">
        <f>D37*D38</f>
        <v>0</v>
      </c>
      <c r="F37" s="102"/>
      <c r="G37" s="102"/>
    </row>
    <row r="38" spans="1:7" x14ac:dyDescent="0.25">
      <c r="A38" s="458"/>
      <c r="B38" s="460"/>
      <c r="C38" s="136" t="s">
        <v>148</v>
      </c>
      <c r="D38" s="137">
        <v>0</v>
      </c>
      <c r="E38" s="462"/>
      <c r="F38" s="102"/>
      <c r="G38" s="102"/>
    </row>
    <row r="39" spans="1:7" x14ac:dyDescent="0.25">
      <c r="A39" s="366" t="s">
        <v>40</v>
      </c>
      <c r="B39" s="366"/>
      <c r="C39" s="366"/>
      <c r="D39" s="366"/>
      <c r="E39" s="138">
        <f>SUM(E35:E38)</f>
        <v>1869</v>
      </c>
      <c r="F39" s="102"/>
      <c r="G39" s="102"/>
    </row>
    <row r="40" spans="1:7" x14ac:dyDescent="0.25">
      <c r="A40" s="375" t="s">
        <v>42</v>
      </c>
      <c r="B40" s="375"/>
      <c r="C40" s="375" t="s">
        <v>43</v>
      </c>
      <c r="D40" s="375"/>
      <c r="E40" s="375"/>
      <c r="F40" s="102"/>
      <c r="G40" s="102"/>
    </row>
    <row r="41" spans="1:7" x14ac:dyDescent="0.25">
      <c r="A41" s="130">
        <v>2</v>
      </c>
      <c r="B41" s="366" t="s">
        <v>44</v>
      </c>
      <c r="C41" s="366"/>
      <c r="D41" s="366"/>
      <c r="E41" s="130"/>
      <c r="F41" s="102"/>
      <c r="G41" s="102"/>
    </row>
    <row r="42" spans="1:7" x14ac:dyDescent="0.25">
      <c r="A42" s="379" t="s">
        <v>3</v>
      </c>
      <c r="B42" s="452" t="s">
        <v>45</v>
      </c>
      <c r="C42" s="139" t="s">
        <v>131</v>
      </c>
      <c r="D42" s="140">
        <v>1869</v>
      </c>
      <c r="E42" s="455">
        <f>IF(D43&gt;0,(D43*D44-(D42*6%)),0)</f>
        <v>0</v>
      </c>
      <c r="F42" s="102"/>
      <c r="G42" s="102"/>
    </row>
    <row r="43" spans="1:7" x14ac:dyDescent="0.25">
      <c r="A43" s="444"/>
      <c r="B43" s="453"/>
      <c r="C43" s="139" t="s">
        <v>132</v>
      </c>
      <c r="D43" s="141">
        <v>0</v>
      </c>
      <c r="E43" s="455"/>
      <c r="F43" s="102"/>
      <c r="G43" s="102"/>
    </row>
    <row r="44" spans="1:7" x14ac:dyDescent="0.25">
      <c r="A44" s="380"/>
      <c r="B44" s="454"/>
      <c r="C44" s="139" t="s">
        <v>130</v>
      </c>
      <c r="D44" s="142">
        <v>0</v>
      </c>
      <c r="E44" s="455"/>
      <c r="F44" s="102"/>
      <c r="G44" s="102"/>
    </row>
    <row r="45" spans="1:7" x14ac:dyDescent="0.25">
      <c r="A45" s="379" t="s">
        <v>4</v>
      </c>
      <c r="B45" s="445" t="s">
        <v>46</v>
      </c>
      <c r="C45" s="139" t="s">
        <v>149</v>
      </c>
      <c r="D45" s="143">
        <v>7</v>
      </c>
      <c r="E45" s="448">
        <f>ROUND((D45*D46)-((D45*D46)*D47),2)</f>
        <v>143.22</v>
      </c>
      <c r="F45" s="102"/>
      <c r="G45" s="102"/>
    </row>
    <row r="46" spans="1:7" x14ac:dyDescent="0.25">
      <c r="A46" s="444"/>
      <c r="B46" s="446"/>
      <c r="C46" s="139" t="s">
        <v>150</v>
      </c>
      <c r="D46" s="144">
        <v>22</v>
      </c>
      <c r="E46" s="449"/>
      <c r="F46" s="102"/>
      <c r="G46" s="102"/>
    </row>
    <row r="47" spans="1:7" x14ac:dyDescent="0.25">
      <c r="A47" s="380"/>
      <c r="B47" s="447"/>
      <c r="C47" s="145" t="s">
        <v>133</v>
      </c>
      <c r="D47" s="146">
        <v>7.0000000000000007E-2</v>
      </c>
      <c r="E47" s="450"/>
      <c r="F47" s="102"/>
      <c r="G47" s="102"/>
    </row>
    <row r="48" spans="1:7" x14ac:dyDescent="0.25">
      <c r="A48" s="117" t="s">
        <v>5</v>
      </c>
      <c r="B48" s="451" t="s">
        <v>47</v>
      </c>
      <c r="C48" s="451"/>
      <c r="D48" s="451"/>
      <c r="E48" s="147">
        <v>0</v>
      </c>
      <c r="F48" s="102"/>
      <c r="G48" s="102"/>
    </row>
    <row r="49" spans="1:7" x14ac:dyDescent="0.25">
      <c r="A49" s="117" t="s">
        <v>6</v>
      </c>
      <c r="B49" s="451"/>
      <c r="C49" s="451"/>
      <c r="D49" s="451"/>
      <c r="E49" s="147"/>
      <c r="F49" s="102"/>
      <c r="G49" s="102"/>
    </row>
    <row r="50" spans="1:7" x14ac:dyDescent="0.25">
      <c r="A50" s="117" t="s">
        <v>31</v>
      </c>
      <c r="B50" s="451" t="s">
        <v>154</v>
      </c>
      <c r="C50" s="451"/>
      <c r="D50" s="451"/>
      <c r="E50" s="147">
        <v>0</v>
      </c>
      <c r="F50" s="102"/>
      <c r="G50" s="102"/>
    </row>
    <row r="51" spans="1:7" x14ac:dyDescent="0.25">
      <c r="A51" s="428" t="s">
        <v>32</v>
      </c>
      <c r="B51" s="440" t="s">
        <v>39</v>
      </c>
      <c r="C51" s="443"/>
      <c r="D51" s="443"/>
      <c r="E51" s="148"/>
      <c r="F51" s="102"/>
      <c r="G51" s="102"/>
    </row>
    <row r="52" spans="1:7" x14ac:dyDescent="0.25">
      <c r="A52" s="428"/>
      <c r="B52" s="441"/>
      <c r="C52" s="443"/>
      <c r="D52" s="443"/>
      <c r="E52" s="148"/>
      <c r="F52" s="102"/>
      <c r="G52" s="102"/>
    </row>
    <row r="53" spans="1:7" x14ac:dyDescent="0.25">
      <c r="A53" s="428"/>
      <c r="B53" s="442"/>
      <c r="C53" s="443"/>
      <c r="D53" s="443"/>
      <c r="E53" s="148"/>
      <c r="F53" s="102"/>
      <c r="G53" s="102"/>
    </row>
    <row r="54" spans="1:7" x14ac:dyDescent="0.25">
      <c r="A54" s="366" t="s">
        <v>48</v>
      </c>
      <c r="B54" s="366"/>
      <c r="C54" s="366"/>
      <c r="D54" s="366"/>
      <c r="E54" s="138">
        <f>SUM(E42:E53)</f>
        <v>143.22</v>
      </c>
      <c r="F54" s="102"/>
      <c r="G54" s="102"/>
    </row>
    <row r="55" spans="1:7" x14ac:dyDescent="0.25">
      <c r="A55" s="149" t="s">
        <v>27</v>
      </c>
      <c r="B55" s="434" t="s">
        <v>49</v>
      </c>
      <c r="C55" s="434"/>
      <c r="D55" s="434"/>
      <c r="E55" s="435"/>
      <c r="F55" s="102"/>
      <c r="G55" s="102"/>
    </row>
    <row r="56" spans="1:7" x14ac:dyDescent="0.25">
      <c r="A56" s="124"/>
      <c r="B56" s="372" t="s">
        <v>50</v>
      </c>
      <c r="C56" s="372"/>
      <c r="D56" s="372"/>
      <c r="E56" s="373"/>
      <c r="F56" s="102"/>
      <c r="G56" s="102"/>
    </row>
    <row r="57" spans="1:7" x14ac:dyDescent="0.25">
      <c r="A57" s="125"/>
      <c r="B57" s="125"/>
      <c r="C57" s="125"/>
      <c r="D57" s="125"/>
      <c r="E57" s="125"/>
      <c r="F57" s="102"/>
      <c r="G57" s="102"/>
    </row>
    <row r="58" spans="1:7" x14ac:dyDescent="0.25">
      <c r="A58" s="375" t="s">
        <v>51</v>
      </c>
      <c r="B58" s="375"/>
      <c r="C58" s="375" t="s">
        <v>52</v>
      </c>
      <c r="D58" s="375"/>
      <c r="E58" s="375"/>
      <c r="F58" s="102"/>
      <c r="G58" s="102"/>
    </row>
    <row r="59" spans="1:7" x14ac:dyDescent="0.25">
      <c r="A59" s="130">
        <v>3</v>
      </c>
      <c r="B59" s="366" t="s">
        <v>53</v>
      </c>
      <c r="C59" s="366"/>
      <c r="D59" s="366"/>
      <c r="E59" s="130" t="s">
        <v>41</v>
      </c>
      <c r="F59" s="102"/>
      <c r="G59" s="102"/>
    </row>
    <row r="60" spans="1:7" x14ac:dyDescent="0.25">
      <c r="A60" s="379" t="s">
        <v>3</v>
      </c>
      <c r="B60" s="436" t="s">
        <v>165</v>
      </c>
      <c r="C60" s="150" t="s">
        <v>167</v>
      </c>
      <c r="D60" s="150" t="s">
        <v>166</v>
      </c>
      <c r="E60" s="438">
        <f>(D17/C61)*D61</f>
        <v>975.83199999999999</v>
      </c>
      <c r="F60" s="102"/>
      <c r="G60" s="102"/>
    </row>
    <row r="61" spans="1:7" x14ac:dyDescent="0.25">
      <c r="A61" s="380"/>
      <c r="B61" s="437"/>
      <c r="C61" s="151">
        <v>3</v>
      </c>
      <c r="D61" s="152">
        <v>3.9</v>
      </c>
      <c r="E61" s="439"/>
      <c r="F61" s="103"/>
      <c r="G61" s="102"/>
    </row>
    <row r="62" spans="1:7" x14ac:dyDescent="0.25">
      <c r="A62" s="153" t="s">
        <v>4</v>
      </c>
      <c r="B62" s="154" t="s">
        <v>168</v>
      </c>
      <c r="C62" s="155" t="s">
        <v>169</v>
      </c>
      <c r="D62" s="156">
        <v>1000</v>
      </c>
      <c r="E62" s="157">
        <f>D62/12</f>
        <v>83.333333333333329</v>
      </c>
      <c r="F62" s="102"/>
      <c r="G62" s="102"/>
    </row>
    <row r="63" spans="1:7" x14ac:dyDescent="0.25">
      <c r="A63" s="428" t="s">
        <v>5</v>
      </c>
      <c r="B63" s="429" t="s">
        <v>170</v>
      </c>
      <c r="C63" s="155" t="s">
        <v>171</v>
      </c>
      <c r="D63" s="150" t="s">
        <v>183</v>
      </c>
      <c r="E63" s="430">
        <f>D64/12</f>
        <v>583.33333333333337</v>
      </c>
      <c r="F63" s="102"/>
      <c r="G63" s="102"/>
    </row>
    <row r="64" spans="1:7" x14ac:dyDescent="0.25">
      <c r="A64" s="428"/>
      <c r="B64" s="429"/>
      <c r="C64" s="158">
        <v>100000</v>
      </c>
      <c r="D64" s="159">
        <f>C64*7%</f>
        <v>7000.0000000000009</v>
      </c>
      <c r="E64" s="431"/>
      <c r="F64" s="102"/>
      <c r="G64" s="102"/>
    </row>
    <row r="65" spans="1:7" x14ac:dyDescent="0.25">
      <c r="A65" s="379" t="s">
        <v>6</v>
      </c>
      <c r="B65" s="432" t="s">
        <v>172</v>
      </c>
      <c r="C65" s="160" t="s">
        <v>147</v>
      </c>
      <c r="D65" s="161" t="s">
        <v>68</v>
      </c>
      <c r="E65" s="430">
        <f>C66*D66</f>
        <v>487.916</v>
      </c>
      <c r="F65" s="102"/>
      <c r="G65" s="102"/>
    </row>
    <row r="66" spans="1:7" x14ac:dyDescent="0.25">
      <c r="A66" s="380"/>
      <c r="B66" s="433"/>
      <c r="C66" s="162">
        <f>E60</f>
        <v>975.83199999999999</v>
      </c>
      <c r="D66" s="163">
        <v>0.5</v>
      </c>
      <c r="E66" s="431"/>
      <c r="F66" s="103"/>
      <c r="G66" s="102"/>
    </row>
    <row r="67" spans="1:7" x14ac:dyDescent="0.25">
      <c r="A67" s="366" t="s">
        <v>55</v>
      </c>
      <c r="B67" s="366"/>
      <c r="C67" s="366"/>
      <c r="D67" s="366"/>
      <c r="E67" s="138">
        <f>SUM(E60:E66)</f>
        <v>2130.414666666667</v>
      </c>
      <c r="F67" s="102"/>
      <c r="G67" s="102"/>
    </row>
    <row r="68" spans="1:7" x14ac:dyDescent="0.25">
      <c r="A68" s="164" t="s">
        <v>27</v>
      </c>
      <c r="B68" s="426" t="s">
        <v>54</v>
      </c>
      <c r="C68" s="426"/>
      <c r="D68" s="426"/>
      <c r="E68" s="427"/>
      <c r="F68" s="102"/>
      <c r="G68" s="102"/>
    </row>
    <row r="69" spans="1:7" x14ac:dyDescent="0.25">
      <c r="A69" s="125"/>
      <c r="B69" s="125"/>
      <c r="C69" s="125"/>
      <c r="D69" s="125"/>
      <c r="E69" s="125"/>
      <c r="F69" s="102"/>
      <c r="G69" s="102"/>
    </row>
    <row r="70" spans="1:7" x14ac:dyDescent="0.25">
      <c r="A70" s="375" t="s">
        <v>56</v>
      </c>
      <c r="B70" s="375"/>
      <c r="C70" s="375" t="s">
        <v>57</v>
      </c>
      <c r="D70" s="375"/>
      <c r="E70" s="375"/>
      <c r="F70" s="102"/>
      <c r="G70" s="102"/>
    </row>
    <row r="71" spans="1:7" x14ac:dyDescent="0.25">
      <c r="A71" s="400" t="s">
        <v>58</v>
      </c>
      <c r="B71" s="401"/>
      <c r="C71" s="400" t="s">
        <v>59</v>
      </c>
      <c r="D71" s="402"/>
      <c r="E71" s="401"/>
      <c r="F71" s="102"/>
      <c r="G71" s="102"/>
    </row>
    <row r="72" spans="1:7" x14ac:dyDescent="0.25">
      <c r="A72" s="130" t="s">
        <v>60</v>
      </c>
      <c r="B72" s="366" t="s">
        <v>59</v>
      </c>
      <c r="C72" s="366"/>
      <c r="D72" s="130" t="s">
        <v>68</v>
      </c>
      <c r="E72" s="130" t="s">
        <v>41</v>
      </c>
      <c r="F72" s="102"/>
      <c r="G72" s="102"/>
    </row>
    <row r="73" spans="1:7" x14ac:dyDescent="0.25">
      <c r="A73" s="117" t="s">
        <v>3</v>
      </c>
      <c r="B73" s="365" t="s">
        <v>61</v>
      </c>
      <c r="C73" s="365"/>
      <c r="D73" s="165">
        <f>IF(D9=1,20%,IF(D9=2,20%,IF(D9=3,0%,IF(D9=4,20%,"RT Indefinido"))))</f>
        <v>0.2</v>
      </c>
      <c r="E73" s="166">
        <f>ROUND(E39*D73,2)</f>
        <v>373.8</v>
      </c>
      <c r="F73" s="102"/>
      <c r="G73" s="102"/>
    </row>
    <row r="74" spans="1:7" x14ac:dyDescent="0.25">
      <c r="A74" s="117" t="s">
        <v>4</v>
      </c>
      <c r="B74" s="365" t="s">
        <v>62</v>
      </c>
      <c r="C74" s="365"/>
      <c r="D74" s="165">
        <f>IF(D9=1,1.5%,IF(D9=2,1.5%,IF(D9=3,0%,IF(D9=4,0%,"RT Indefinido"))))</f>
        <v>0</v>
      </c>
      <c r="E74" s="166">
        <f>ROUND(E39*D74,2)</f>
        <v>0</v>
      </c>
      <c r="F74" s="102"/>
      <c r="G74" s="102"/>
    </row>
    <row r="75" spans="1:7" x14ac:dyDescent="0.25">
      <c r="A75" s="117" t="s">
        <v>5</v>
      </c>
      <c r="B75" s="365" t="s">
        <v>63</v>
      </c>
      <c r="C75" s="365"/>
      <c r="D75" s="165">
        <f>IF(D9=1,1%,IF(D9=2,1%,IF(D9=3,0%,IF(D9=4,0%,"RT Indefinido"))))</f>
        <v>0</v>
      </c>
      <c r="E75" s="166">
        <f>ROUND(E39*D75,2)</f>
        <v>0</v>
      </c>
      <c r="F75" s="102"/>
      <c r="G75" s="102"/>
    </row>
    <row r="76" spans="1:7" x14ac:dyDescent="0.25">
      <c r="A76" s="117" t="s">
        <v>6</v>
      </c>
      <c r="B76" s="425" t="s">
        <v>64</v>
      </c>
      <c r="C76" s="425"/>
      <c r="D76" s="167">
        <f>IF(D9=1,0.2%,IF(D9=2,0.2%,IF(D9=3,0%,IF(D9=4,0%,"RT Indefinido"))))</f>
        <v>0</v>
      </c>
      <c r="E76" s="168">
        <f>ROUND(E39*D76,2)</f>
        <v>0</v>
      </c>
      <c r="F76" s="102"/>
      <c r="G76" s="102"/>
    </row>
    <row r="77" spans="1:7" x14ac:dyDescent="0.25">
      <c r="A77" s="117" t="s">
        <v>31</v>
      </c>
      <c r="B77" s="365" t="s">
        <v>65</v>
      </c>
      <c r="C77" s="365"/>
      <c r="D77" s="165">
        <f>IF(D9=1,2.5%,IF(D9=2,2.5%,IF(D9=3,0%,IF(D9=4,0%,"RT Indefinido"))))</f>
        <v>0</v>
      </c>
      <c r="E77" s="166">
        <f>ROUND(E39*D77,2)</f>
        <v>0</v>
      </c>
      <c r="F77" s="102"/>
      <c r="G77" s="102"/>
    </row>
    <row r="78" spans="1:7" x14ac:dyDescent="0.25">
      <c r="A78" s="117" t="s">
        <v>32</v>
      </c>
      <c r="B78" s="384" t="s">
        <v>66</v>
      </c>
      <c r="C78" s="384"/>
      <c r="D78" s="165">
        <f>IF(D9=1,8%,IF(D9=2,8%,IF(D9=3,8%,IF(D9=4,8%,"RT Indefinido"))))</f>
        <v>0.08</v>
      </c>
      <c r="E78" s="166">
        <f>ROUND(E39*D78,2)</f>
        <v>149.52000000000001</v>
      </c>
      <c r="F78" s="102"/>
      <c r="G78" s="102"/>
    </row>
    <row r="79" spans="1:7" x14ac:dyDescent="0.25">
      <c r="A79" s="117" t="s">
        <v>33</v>
      </c>
      <c r="B79" s="424" t="s">
        <v>143</v>
      </c>
      <c r="C79" s="424"/>
      <c r="D79" s="169">
        <v>0.03</v>
      </c>
      <c r="E79" s="170">
        <f>ROUND(E39*D79,2)</f>
        <v>56.07</v>
      </c>
      <c r="F79" s="102"/>
      <c r="G79" s="102"/>
    </row>
    <row r="80" spans="1:7" x14ac:dyDescent="0.25">
      <c r="A80" s="117" t="s">
        <v>34</v>
      </c>
      <c r="B80" s="384" t="s">
        <v>67</v>
      </c>
      <c r="C80" s="384"/>
      <c r="D80" s="165">
        <f>IF(D9=1,0.6%,IF(D9=2,0.6%,IF(D9=3,0%,IF(D9=4,0%,"RT Indefinido"))))</f>
        <v>0</v>
      </c>
      <c r="E80" s="166">
        <f>ROUND(E39*D80,2)</f>
        <v>0</v>
      </c>
      <c r="F80" s="102"/>
      <c r="G80" s="102"/>
    </row>
    <row r="81" spans="1:7" x14ac:dyDescent="0.25">
      <c r="A81" s="366" t="s">
        <v>77</v>
      </c>
      <c r="B81" s="366"/>
      <c r="C81" s="366"/>
      <c r="D81" s="171">
        <f>SUM(D73:D80)</f>
        <v>0.31000000000000005</v>
      </c>
      <c r="E81" s="138">
        <f>ROUND(SUM(E73:E80),2)</f>
        <v>579.39</v>
      </c>
      <c r="F81" s="102"/>
      <c r="G81" s="102"/>
    </row>
    <row r="82" spans="1:7" x14ac:dyDescent="0.25">
      <c r="A82" s="149" t="s">
        <v>25</v>
      </c>
      <c r="B82" s="385" t="s">
        <v>69</v>
      </c>
      <c r="C82" s="385"/>
      <c r="D82" s="385"/>
      <c r="E82" s="386"/>
      <c r="F82" s="102"/>
      <c r="G82" s="102"/>
    </row>
    <row r="83" spans="1:7" x14ac:dyDescent="0.25">
      <c r="A83" s="172" t="s">
        <v>26</v>
      </c>
      <c r="B83" s="372" t="s">
        <v>70</v>
      </c>
      <c r="C83" s="372"/>
      <c r="D83" s="372"/>
      <c r="E83" s="373"/>
      <c r="F83" s="102"/>
      <c r="G83" s="102"/>
    </row>
    <row r="84" spans="1:7" x14ac:dyDescent="0.25">
      <c r="A84" s="125"/>
      <c r="B84" s="125"/>
      <c r="C84" s="125"/>
      <c r="D84" s="125"/>
      <c r="E84" s="125"/>
      <c r="F84" s="102"/>
      <c r="G84" s="102"/>
    </row>
    <row r="85" spans="1:7" x14ac:dyDescent="0.25">
      <c r="A85" s="400" t="s">
        <v>71</v>
      </c>
      <c r="B85" s="401"/>
      <c r="C85" s="400" t="s">
        <v>72</v>
      </c>
      <c r="D85" s="402"/>
      <c r="E85" s="401"/>
      <c r="F85" s="102"/>
      <c r="G85" s="102"/>
    </row>
    <row r="86" spans="1:7" x14ac:dyDescent="0.25">
      <c r="A86" s="130" t="s">
        <v>78</v>
      </c>
      <c r="B86" s="366" t="s">
        <v>72</v>
      </c>
      <c r="C86" s="366"/>
      <c r="D86" s="130" t="s">
        <v>68</v>
      </c>
      <c r="E86" s="130" t="s">
        <v>41</v>
      </c>
      <c r="F86" s="102"/>
      <c r="G86" s="102"/>
    </row>
    <row r="87" spans="1:7" x14ac:dyDescent="0.25">
      <c r="A87" s="117" t="s">
        <v>3</v>
      </c>
      <c r="B87" s="365" t="s">
        <v>73</v>
      </c>
      <c r="C87" s="365"/>
      <c r="D87" s="165">
        <f>100/12/100</f>
        <v>8.3333333333333343E-2</v>
      </c>
      <c r="E87" s="166">
        <f>ROUND(E39*D87,2)</f>
        <v>155.75</v>
      </c>
      <c r="F87" s="102"/>
      <c r="G87" s="102"/>
    </row>
    <row r="88" spans="1:7" x14ac:dyDescent="0.25">
      <c r="A88" s="117" t="s">
        <v>4</v>
      </c>
      <c r="B88" s="365" t="s">
        <v>74</v>
      </c>
      <c r="C88" s="365"/>
      <c r="D88" s="165">
        <f>100/12/100/3</f>
        <v>2.777777777777778E-2</v>
      </c>
      <c r="E88" s="166">
        <f>ROUND(E39*D88,2)</f>
        <v>51.92</v>
      </c>
      <c r="F88" s="102"/>
      <c r="G88" s="102"/>
    </row>
    <row r="89" spans="1:7" x14ac:dyDescent="0.25">
      <c r="A89" s="370" t="s">
        <v>75</v>
      </c>
      <c r="B89" s="371"/>
      <c r="C89" s="423"/>
      <c r="D89" s="173">
        <f>SUM(D87+D88)</f>
        <v>0.11111111111111112</v>
      </c>
      <c r="E89" s="174">
        <f>ROUND(SUM(E87+E88),2)</f>
        <v>207.67</v>
      </c>
      <c r="F89" s="102"/>
      <c r="G89" s="102"/>
    </row>
    <row r="90" spans="1:7" x14ac:dyDescent="0.25">
      <c r="A90" s="379" t="s">
        <v>5</v>
      </c>
      <c r="B90" s="415" t="s">
        <v>76</v>
      </c>
      <c r="C90" s="416"/>
      <c r="D90" s="419">
        <f>ROUND((E90*D89)/E89,4)</f>
        <v>3.44E-2</v>
      </c>
      <c r="E90" s="421">
        <f>ROUND(E89*D81,2)</f>
        <v>64.38</v>
      </c>
      <c r="F90" s="102"/>
      <c r="G90" s="102"/>
    </row>
    <row r="91" spans="1:7" x14ac:dyDescent="0.25">
      <c r="A91" s="380"/>
      <c r="B91" s="417"/>
      <c r="C91" s="418"/>
      <c r="D91" s="420"/>
      <c r="E91" s="422"/>
      <c r="F91" s="102"/>
      <c r="G91" s="102"/>
    </row>
    <row r="92" spans="1:7" x14ac:dyDescent="0.25">
      <c r="A92" s="366" t="s">
        <v>77</v>
      </c>
      <c r="B92" s="366"/>
      <c r="C92" s="366"/>
      <c r="D92" s="171">
        <f>SUM(D89:D91)</f>
        <v>0.14551111111111112</v>
      </c>
      <c r="E92" s="138">
        <f>ROUND(SUM(E89:E91),2)</f>
        <v>272.05</v>
      </c>
      <c r="F92" s="102"/>
      <c r="G92" s="102"/>
    </row>
    <row r="93" spans="1:7" x14ac:dyDescent="0.25">
      <c r="A93" s="125"/>
      <c r="B93" s="125"/>
      <c r="C93" s="125"/>
      <c r="D93" s="125"/>
      <c r="E93" s="125"/>
      <c r="F93" s="102"/>
      <c r="G93" s="102"/>
    </row>
    <row r="94" spans="1:7" x14ac:dyDescent="0.25">
      <c r="A94" s="400" t="s">
        <v>79</v>
      </c>
      <c r="B94" s="401"/>
      <c r="C94" s="400" t="s">
        <v>81</v>
      </c>
      <c r="D94" s="402"/>
      <c r="E94" s="401"/>
      <c r="F94" s="412" t="s">
        <v>81</v>
      </c>
      <c r="G94" s="412"/>
    </row>
    <row r="95" spans="1:7" x14ac:dyDescent="0.25">
      <c r="A95" s="130" t="s">
        <v>80</v>
      </c>
      <c r="B95" s="366" t="s">
        <v>81</v>
      </c>
      <c r="C95" s="366"/>
      <c r="D95" s="130" t="s">
        <v>68</v>
      </c>
      <c r="E95" s="130" t="s">
        <v>41</v>
      </c>
      <c r="F95" s="104" t="s">
        <v>161</v>
      </c>
      <c r="G95" s="105" t="s">
        <v>173</v>
      </c>
    </row>
    <row r="96" spans="1:7" x14ac:dyDescent="0.25">
      <c r="A96" s="117" t="s">
        <v>3</v>
      </c>
      <c r="B96" s="365" t="s">
        <v>81</v>
      </c>
      <c r="C96" s="365"/>
      <c r="D96" s="175">
        <f>(E96)/E39</f>
        <v>0</v>
      </c>
      <c r="E96" s="176">
        <f>IF(G95="S",(((1+1/3)*(4/12))*(E39))/12*2%,IF(G95="N",0,"INFORME S ou N"))</f>
        <v>0</v>
      </c>
      <c r="F96" s="102"/>
      <c r="G96" s="102"/>
    </row>
    <row r="97" spans="1:7" x14ac:dyDescent="0.25">
      <c r="A97" s="379" t="s">
        <v>4</v>
      </c>
      <c r="B97" s="415" t="s">
        <v>82</v>
      </c>
      <c r="C97" s="416"/>
      <c r="D97" s="419">
        <f>IF(G95="S",(ROUND((E97*D96)/E96,4)),0)</f>
        <v>0</v>
      </c>
      <c r="E97" s="421">
        <f>ROUND(D81*E96,2)</f>
        <v>0</v>
      </c>
      <c r="F97" s="102"/>
      <c r="G97" s="102"/>
    </row>
    <row r="98" spans="1:7" x14ac:dyDescent="0.25">
      <c r="A98" s="380"/>
      <c r="B98" s="417"/>
      <c r="C98" s="418"/>
      <c r="D98" s="420"/>
      <c r="E98" s="422"/>
      <c r="F98" s="102"/>
      <c r="G98" s="102"/>
    </row>
    <row r="99" spans="1:7" x14ac:dyDescent="0.25">
      <c r="A99" s="366" t="s">
        <v>77</v>
      </c>
      <c r="B99" s="366"/>
      <c r="C99" s="366"/>
      <c r="D99" s="171">
        <f>SUM(D96:D98)</f>
        <v>0</v>
      </c>
      <c r="E99" s="138">
        <f>ROUND(SUM(E96:E98),2)</f>
        <v>0</v>
      </c>
      <c r="F99" s="102"/>
      <c r="G99" s="102"/>
    </row>
    <row r="100" spans="1:7" x14ac:dyDescent="0.25">
      <c r="A100" s="125"/>
      <c r="B100" s="125"/>
      <c r="C100" s="125"/>
      <c r="D100" s="125"/>
      <c r="E100" s="125"/>
      <c r="F100" s="102"/>
      <c r="G100" s="102"/>
    </row>
    <row r="101" spans="1:7" x14ac:dyDescent="0.25">
      <c r="A101" s="400" t="s">
        <v>83</v>
      </c>
      <c r="B101" s="401"/>
      <c r="C101" s="400" t="s">
        <v>85</v>
      </c>
      <c r="D101" s="402"/>
      <c r="E101" s="401"/>
      <c r="F101" s="102"/>
      <c r="G101" s="102"/>
    </row>
    <row r="102" spans="1:7" x14ac:dyDescent="0.25">
      <c r="A102" s="130" t="s">
        <v>84</v>
      </c>
      <c r="B102" s="366" t="s">
        <v>85</v>
      </c>
      <c r="C102" s="366"/>
      <c r="D102" s="130" t="s">
        <v>68</v>
      </c>
      <c r="E102" s="130" t="s">
        <v>41</v>
      </c>
      <c r="F102" s="102"/>
      <c r="G102" s="102"/>
    </row>
    <row r="103" spans="1:7" x14ac:dyDescent="0.25">
      <c r="A103" s="117" t="s">
        <v>3</v>
      </c>
      <c r="B103" s="365" t="s">
        <v>91</v>
      </c>
      <c r="C103" s="365"/>
      <c r="D103" s="175">
        <f>ROUND(E103/E39,4)</f>
        <v>4.1999999999999997E-3</v>
      </c>
      <c r="E103" s="166">
        <f>ROUND((E39/12)*5/100,2)</f>
        <v>7.79</v>
      </c>
      <c r="F103" s="102"/>
      <c r="G103" s="102"/>
    </row>
    <row r="104" spans="1:7" x14ac:dyDescent="0.25">
      <c r="A104" s="153" t="s">
        <v>4</v>
      </c>
      <c r="B104" s="410" t="s">
        <v>144</v>
      </c>
      <c r="C104" s="411"/>
      <c r="D104" s="177">
        <f>ROUND(E104/E39,4)</f>
        <v>2.9999999999999997E-4</v>
      </c>
      <c r="E104" s="178">
        <f>ROUND(E103*0.08,2)</f>
        <v>0.62</v>
      </c>
      <c r="F104" s="102"/>
      <c r="G104" s="102"/>
    </row>
    <row r="105" spans="1:7" x14ac:dyDescent="0.25">
      <c r="A105" s="117" t="s">
        <v>5</v>
      </c>
      <c r="B105" s="365" t="s">
        <v>92</v>
      </c>
      <c r="C105" s="365"/>
      <c r="D105" s="175">
        <f>ROUND(E105/E39,4)</f>
        <v>2.3999999999999998E-3</v>
      </c>
      <c r="E105" s="166">
        <f>ROUND((((E39*0.08)*0.5)*0.06),2)</f>
        <v>4.49</v>
      </c>
      <c r="F105" s="102"/>
      <c r="G105" s="102"/>
    </row>
    <row r="106" spans="1:7" x14ac:dyDescent="0.25">
      <c r="A106" s="117" t="s">
        <v>6</v>
      </c>
      <c r="B106" s="365" t="s">
        <v>93</v>
      </c>
      <c r="C106" s="365"/>
      <c r="D106" s="175">
        <f>ROUND(E106/E39,4)</f>
        <v>2.3300000000000001E-2</v>
      </c>
      <c r="E106" s="179">
        <f>ROUND(((E39/30)*7)/E14,2)</f>
        <v>43.61</v>
      </c>
      <c r="F106" s="102"/>
      <c r="G106" s="102"/>
    </row>
    <row r="107" spans="1:7" x14ac:dyDescent="0.25">
      <c r="A107" s="153" t="s">
        <v>31</v>
      </c>
      <c r="B107" s="410" t="s">
        <v>94</v>
      </c>
      <c r="C107" s="411"/>
      <c r="D107" s="177">
        <f>ROUND(E107/E39,4)</f>
        <v>7.1999999999999998E-3</v>
      </c>
      <c r="E107" s="180">
        <f>ROUND(E106*D81,2)</f>
        <v>13.52</v>
      </c>
      <c r="F107" s="102"/>
      <c r="G107" s="102"/>
    </row>
    <row r="108" spans="1:7" x14ac:dyDescent="0.25">
      <c r="A108" s="181" t="s">
        <v>6</v>
      </c>
      <c r="B108" s="413" t="s">
        <v>146</v>
      </c>
      <c r="C108" s="414"/>
      <c r="D108" s="175">
        <f>ROUND(E108/E39,4)</f>
        <v>4.7600000000000003E-2</v>
      </c>
      <c r="E108" s="166">
        <f>ROUND((E39*0.08)*0.595,2)</f>
        <v>88.96</v>
      </c>
      <c r="F108" s="102"/>
      <c r="G108" s="102"/>
    </row>
    <row r="109" spans="1:7" x14ac:dyDescent="0.25">
      <c r="A109" s="366" t="s">
        <v>77</v>
      </c>
      <c r="B109" s="366"/>
      <c r="C109" s="366"/>
      <c r="D109" s="182">
        <f>ROUND(SUM(D103:D108),4)</f>
        <v>8.5000000000000006E-2</v>
      </c>
      <c r="E109" s="138">
        <f>ROUND(SUM(E103:E108),2)</f>
        <v>158.99</v>
      </c>
      <c r="F109" s="102"/>
      <c r="G109" s="102"/>
    </row>
    <row r="110" spans="1:7" x14ac:dyDescent="0.25">
      <c r="A110" s="125"/>
      <c r="B110" s="125"/>
      <c r="C110" s="125"/>
      <c r="D110" s="125"/>
      <c r="E110" s="125"/>
      <c r="F110" s="102"/>
      <c r="G110" s="102"/>
    </row>
    <row r="111" spans="1:7" x14ac:dyDescent="0.25">
      <c r="A111" s="400" t="s">
        <v>95</v>
      </c>
      <c r="B111" s="401"/>
      <c r="C111" s="400" t="s">
        <v>97</v>
      </c>
      <c r="D111" s="402"/>
      <c r="E111" s="401"/>
      <c r="F111" s="412" t="s">
        <v>88</v>
      </c>
      <c r="G111" s="412"/>
    </row>
    <row r="112" spans="1:7" x14ac:dyDescent="0.25">
      <c r="A112" s="183" t="s">
        <v>96</v>
      </c>
      <c r="B112" s="403" t="s">
        <v>98</v>
      </c>
      <c r="C112" s="404"/>
      <c r="D112" s="183" t="s">
        <v>68</v>
      </c>
      <c r="E112" s="183" t="s">
        <v>41</v>
      </c>
      <c r="F112" s="106" t="s">
        <v>161</v>
      </c>
      <c r="G112" s="107" t="s">
        <v>162</v>
      </c>
    </row>
    <row r="113" spans="1:7" x14ac:dyDescent="0.25">
      <c r="A113" s="117" t="s">
        <v>3</v>
      </c>
      <c r="B113" s="365" t="s">
        <v>86</v>
      </c>
      <c r="C113" s="365"/>
      <c r="D113" s="165">
        <f>(100/12/100)</f>
        <v>8.3333333333333343E-2</v>
      </c>
      <c r="E113" s="166">
        <f>ROUND(E39*D113,2)</f>
        <v>155.75</v>
      </c>
      <c r="F113" s="102"/>
      <c r="G113" s="102"/>
    </row>
    <row r="114" spans="1:7" x14ac:dyDescent="0.25">
      <c r="A114" s="153" t="s">
        <v>4</v>
      </c>
      <c r="B114" s="405" t="s">
        <v>87</v>
      </c>
      <c r="C114" s="406"/>
      <c r="D114" s="184">
        <f>E114/E39</f>
        <v>1.3889780631353665E-2</v>
      </c>
      <c r="E114" s="166">
        <f>ROUND(5/30*E39/12,2)</f>
        <v>25.96</v>
      </c>
      <c r="F114" s="102"/>
      <c r="G114" s="102"/>
    </row>
    <row r="115" spans="1:7" x14ac:dyDescent="0.25">
      <c r="A115" s="117" t="s">
        <v>5</v>
      </c>
      <c r="B115" s="365" t="s">
        <v>88</v>
      </c>
      <c r="C115" s="365"/>
      <c r="D115" s="165">
        <f>E115/E39</f>
        <v>2.0833333333333332E-4</v>
      </c>
      <c r="E115" s="185">
        <f>IF(G112="S",((((5/30)*(E39))/12)*0.015),IF(G112="N",0,"INFORME S ou N"))</f>
        <v>0.38937499999999997</v>
      </c>
      <c r="F115" s="102"/>
      <c r="G115" s="102"/>
    </row>
    <row r="116" spans="1:7" x14ac:dyDescent="0.25">
      <c r="A116" s="117" t="s">
        <v>6</v>
      </c>
      <c r="B116" s="365" t="s">
        <v>89</v>
      </c>
      <c r="C116" s="365"/>
      <c r="D116" s="165">
        <f>E116/E39</f>
        <v>2.7768860353130018E-3</v>
      </c>
      <c r="E116" s="166">
        <f>ROUND((1/30*E39)/12,2)</f>
        <v>5.19</v>
      </c>
      <c r="F116" s="102"/>
      <c r="G116" s="102"/>
    </row>
    <row r="117" spans="1:7" x14ac:dyDescent="0.25">
      <c r="A117" s="117" t="s">
        <v>31</v>
      </c>
      <c r="B117" s="367" t="s">
        <v>90</v>
      </c>
      <c r="C117" s="369"/>
      <c r="D117" s="165">
        <f>E117/E39</f>
        <v>3.2637774210807918E-4</v>
      </c>
      <c r="E117" s="166">
        <f>ROUND((((15/30)*E39)/12)*0.78%,2)</f>
        <v>0.61</v>
      </c>
      <c r="F117" s="102"/>
      <c r="G117" s="102"/>
    </row>
    <row r="118" spans="1:7" x14ac:dyDescent="0.25">
      <c r="A118" s="379" t="s">
        <v>32</v>
      </c>
      <c r="B118" s="396" t="s">
        <v>39</v>
      </c>
      <c r="C118" s="186"/>
      <c r="D118" s="187">
        <f>E118/E39</f>
        <v>0</v>
      </c>
      <c r="E118" s="188">
        <v>0</v>
      </c>
      <c r="F118" s="102"/>
      <c r="G118" s="102"/>
    </row>
    <row r="119" spans="1:7" x14ac:dyDescent="0.25">
      <c r="A119" s="380"/>
      <c r="B119" s="396"/>
      <c r="C119" s="189"/>
      <c r="D119" s="190">
        <v>0</v>
      </c>
      <c r="E119" s="191">
        <f>ROUND(E39*D119,2)</f>
        <v>0</v>
      </c>
      <c r="F119" s="102"/>
      <c r="G119" s="102"/>
    </row>
    <row r="120" spans="1:7" x14ac:dyDescent="0.25">
      <c r="A120" s="407" t="s">
        <v>75</v>
      </c>
      <c r="B120" s="408"/>
      <c r="C120" s="409"/>
      <c r="D120" s="192">
        <f>SUM(D113:D119)</f>
        <v>0.10053471107544143</v>
      </c>
      <c r="E120" s="174">
        <f>ROUND(SUM(E113:E119),2)</f>
        <v>187.9</v>
      </c>
      <c r="F120" s="102"/>
      <c r="G120" s="102"/>
    </row>
    <row r="121" spans="1:7" x14ac:dyDescent="0.25">
      <c r="A121" s="181" t="s">
        <v>33</v>
      </c>
      <c r="B121" s="410" t="s">
        <v>99</v>
      </c>
      <c r="C121" s="411"/>
      <c r="D121" s="177">
        <f>ROUND(E121/E39,4)</f>
        <v>3.1199999999999999E-2</v>
      </c>
      <c r="E121" s="180">
        <f>ROUND(E120*D81,2)</f>
        <v>58.25</v>
      </c>
      <c r="F121" s="102"/>
      <c r="G121" s="102"/>
    </row>
    <row r="122" spans="1:7" x14ac:dyDescent="0.25">
      <c r="A122" s="366" t="s">
        <v>77</v>
      </c>
      <c r="B122" s="366"/>
      <c r="C122" s="366"/>
      <c r="D122" s="182">
        <f>ROUND(D120+D121,4)</f>
        <v>0.13170000000000001</v>
      </c>
      <c r="E122" s="138">
        <f>ROUND(E120+E121,2)</f>
        <v>246.15</v>
      </c>
      <c r="F122" s="102"/>
      <c r="G122" s="102"/>
    </row>
    <row r="123" spans="1:7" x14ac:dyDescent="0.25">
      <c r="A123" s="125"/>
      <c r="B123" s="125"/>
      <c r="C123" s="125"/>
      <c r="D123" s="125"/>
      <c r="E123" s="125"/>
      <c r="F123" s="102"/>
      <c r="G123" s="102"/>
    </row>
    <row r="124" spans="1:7" x14ac:dyDescent="0.25">
      <c r="A124" s="400" t="s">
        <v>100</v>
      </c>
      <c r="B124" s="401"/>
      <c r="C124" s="400" t="s">
        <v>101</v>
      </c>
      <c r="D124" s="402"/>
      <c r="E124" s="401"/>
      <c r="F124" s="102"/>
      <c r="G124" s="102"/>
    </row>
    <row r="125" spans="1:7" x14ac:dyDescent="0.25">
      <c r="A125" s="183">
        <v>4</v>
      </c>
      <c r="B125" s="403" t="s">
        <v>102</v>
      </c>
      <c r="C125" s="404"/>
      <c r="D125" s="183" t="s">
        <v>68</v>
      </c>
      <c r="E125" s="183" t="s">
        <v>41</v>
      </c>
      <c r="F125" s="102"/>
      <c r="G125" s="102"/>
    </row>
    <row r="126" spans="1:7" x14ac:dyDescent="0.25">
      <c r="A126" s="117" t="s">
        <v>60</v>
      </c>
      <c r="B126" s="365" t="s">
        <v>59</v>
      </c>
      <c r="C126" s="365"/>
      <c r="D126" s="175">
        <f>D81</f>
        <v>0.31000000000000005</v>
      </c>
      <c r="E126" s="166">
        <f>E81</f>
        <v>579.39</v>
      </c>
      <c r="F126" s="102"/>
      <c r="G126" s="102"/>
    </row>
    <row r="127" spans="1:7" x14ac:dyDescent="0.25">
      <c r="A127" s="153" t="s">
        <v>78</v>
      </c>
      <c r="B127" s="405" t="s">
        <v>72</v>
      </c>
      <c r="C127" s="406"/>
      <c r="D127" s="177">
        <f>D92</f>
        <v>0.14551111111111112</v>
      </c>
      <c r="E127" s="166">
        <f>E92</f>
        <v>272.05</v>
      </c>
      <c r="F127" s="102"/>
      <c r="G127" s="102"/>
    </row>
    <row r="128" spans="1:7" x14ac:dyDescent="0.25">
      <c r="A128" s="117" t="s">
        <v>80</v>
      </c>
      <c r="B128" s="365" t="s">
        <v>81</v>
      </c>
      <c r="C128" s="365"/>
      <c r="D128" s="175">
        <f>D99</f>
        <v>0</v>
      </c>
      <c r="E128" s="166">
        <f>E99</f>
        <v>0</v>
      </c>
      <c r="F128" s="102"/>
      <c r="G128" s="102"/>
    </row>
    <row r="129" spans="1:7" x14ac:dyDescent="0.25">
      <c r="A129" s="117" t="s">
        <v>84</v>
      </c>
      <c r="B129" s="365" t="s">
        <v>85</v>
      </c>
      <c r="C129" s="365"/>
      <c r="D129" s="175">
        <f>D109</f>
        <v>8.5000000000000006E-2</v>
      </c>
      <c r="E129" s="166">
        <f>E109</f>
        <v>158.99</v>
      </c>
      <c r="F129" s="102"/>
      <c r="G129" s="102"/>
    </row>
    <row r="130" spans="1:7" x14ac:dyDescent="0.25">
      <c r="A130" s="117" t="s">
        <v>96</v>
      </c>
      <c r="B130" s="367" t="s">
        <v>104</v>
      </c>
      <c r="C130" s="369"/>
      <c r="D130" s="175">
        <f>D122</f>
        <v>0.13170000000000001</v>
      </c>
      <c r="E130" s="166">
        <f>E122</f>
        <v>246.15</v>
      </c>
      <c r="F130" s="102"/>
      <c r="G130" s="102"/>
    </row>
    <row r="131" spans="1:7" x14ac:dyDescent="0.25">
      <c r="A131" s="379" t="s">
        <v>103</v>
      </c>
      <c r="B131" s="396" t="s">
        <v>39</v>
      </c>
      <c r="C131" s="186"/>
      <c r="D131" s="193">
        <v>0</v>
      </c>
      <c r="E131" s="191">
        <f>E54*D131</f>
        <v>0</v>
      </c>
      <c r="F131" s="102"/>
      <c r="G131" s="102"/>
    </row>
    <row r="132" spans="1:7" x14ac:dyDescent="0.25">
      <c r="A132" s="380"/>
      <c r="B132" s="396"/>
      <c r="C132" s="194"/>
      <c r="D132" s="195">
        <v>0</v>
      </c>
      <c r="E132" s="191">
        <f>E54*D132</f>
        <v>0</v>
      </c>
      <c r="F132" s="102"/>
      <c r="G132" s="102"/>
    </row>
    <row r="133" spans="1:7" x14ac:dyDescent="0.25">
      <c r="A133" s="366" t="s">
        <v>77</v>
      </c>
      <c r="B133" s="366"/>
      <c r="C133" s="366"/>
      <c r="D133" s="182">
        <f>SUM(D126:D132)</f>
        <v>0.6722111111111112</v>
      </c>
      <c r="E133" s="138">
        <f>ROUND(SUM(E126:E132),2)</f>
        <v>1256.58</v>
      </c>
      <c r="F133" s="102"/>
      <c r="G133" s="102"/>
    </row>
    <row r="134" spans="1:7" x14ac:dyDescent="0.25">
      <c r="A134" s="125"/>
      <c r="B134" s="125"/>
      <c r="C134" s="125"/>
      <c r="D134" s="125"/>
      <c r="E134" s="125"/>
      <c r="F134" s="102"/>
      <c r="G134" s="102"/>
    </row>
    <row r="135" spans="1:7" x14ac:dyDescent="0.25">
      <c r="A135" s="375" t="s">
        <v>105</v>
      </c>
      <c r="B135" s="375"/>
      <c r="C135" s="375" t="s">
        <v>106</v>
      </c>
      <c r="D135" s="375"/>
      <c r="E135" s="375"/>
      <c r="F135" s="102"/>
      <c r="G135" s="102"/>
    </row>
    <row r="136" spans="1:7" x14ac:dyDescent="0.25">
      <c r="A136" s="130">
        <v>5</v>
      </c>
      <c r="B136" s="366" t="s">
        <v>107</v>
      </c>
      <c r="C136" s="366"/>
      <c r="D136" s="130" t="s">
        <v>68</v>
      </c>
      <c r="E136" s="130" t="s">
        <v>41</v>
      </c>
      <c r="F136" s="102"/>
      <c r="G136" s="102"/>
    </row>
    <row r="137" spans="1:7" x14ac:dyDescent="0.25">
      <c r="A137" s="379" t="s">
        <v>3</v>
      </c>
      <c r="B137" s="381" t="s">
        <v>151</v>
      </c>
      <c r="C137" s="382"/>
      <c r="D137" s="383"/>
      <c r="E137" s="196">
        <f>E39+E54+E67+E133</f>
        <v>5399.2146666666667</v>
      </c>
      <c r="F137" s="102"/>
      <c r="G137" s="102"/>
    </row>
    <row r="138" spans="1:7" x14ac:dyDescent="0.25">
      <c r="A138" s="380"/>
      <c r="B138" s="365" t="s">
        <v>108</v>
      </c>
      <c r="C138" s="365"/>
      <c r="D138" s="197">
        <v>5.8999999999999997E-2</v>
      </c>
      <c r="E138" s="198">
        <f>E137*D138</f>
        <v>318.5536653333333</v>
      </c>
      <c r="F138" s="102"/>
      <c r="G138" s="102"/>
    </row>
    <row r="139" spans="1:7" x14ac:dyDescent="0.25">
      <c r="A139" s="387" t="s">
        <v>4</v>
      </c>
      <c r="B139" s="390" t="s">
        <v>109</v>
      </c>
      <c r="C139" s="391"/>
      <c r="D139" s="391"/>
      <c r="E139" s="392"/>
      <c r="F139" s="102"/>
      <c r="G139" s="102"/>
    </row>
    <row r="140" spans="1:7" x14ac:dyDescent="0.25">
      <c r="A140" s="388"/>
      <c r="B140" s="393" t="s">
        <v>110</v>
      </c>
      <c r="C140" s="139" t="s">
        <v>141</v>
      </c>
      <c r="D140" s="165">
        <v>0</v>
      </c>
      <c r="E140" s="198">
        <f>ROUND((E164+E138+E152)/(1-D150)*D140,2)</f>
        <v>0</v>
      </c>
      <c r="F140" s="102"/>
      <c r="G140" s="102"/>
    </row>
    <row r="141" spans="1:7" x14ac:dyDescent="0.25">
      <c r="A141" s="388"/>
      <c r="B141" s="394"/>
      <c r="C141" s="139" t="s">
        <v>112</v>
      </c>
      <c r="D141" s="165">
        <v>0</v>
      </c>
      <c r="E141" s="198">
        <f>ROUND((E164+E138+E152)/(1-D150)*D141,2)</f>
        <v>0</v>
      </c>
      <c r="F141" s="102"/>
      <c r="G141" s="102"/>
    </row>
    <row r="142" spans="1:7" x14ac:dyDescent="0.25">
      <c r="A142" s="388"/>
      <c r="B142" s="394"/>
      <c r="C142" s="139" t="s">
        <v>111</v>
      </c>
      <c r="D142" s="165">
        <f>IF(D9=1,7.6%,IF(D9=2,3%,IF(D9=3,C172,IF(D9=4,C172,"RT Indefinido"))))</f>
        <v>0</v>
      </c>
      <c r="E142" s="198">
        <f>ROUND((E164+E138+E152)/(1-D150)*D142,2)</f>
        <v>0</v>
      </c>
      <c r="F142" s="102"/>
      <c r="G142" s="102"/>
    </row>
    <row r="143" spans="1:7" x14ac:dyDescent="0.25">
      <c r="A143" s="388"/>
      <c r="B143" s="395"/>
      <c r="C143" s="199" t="s">
        <v>113</v>
      </c>
      <c r="D143" s="165">
        <f>IF(D9=1,1.65%,IF(D9=2,0.65%,IF(D9=3,C173,IF(D9=4,C173,"RT Indefinido"))))</f>
        <v>0</v>
      </c>
      <c r="E143" s="198">
        <f>ROUND((E164+E138+E152)/(1-D150)*D143,2)</f>
        <v>0</v>
      </c>
      <c r="F143" s="102"/>
      <c r="G143" s="102"/>
    </row>
    <row r="144" spans="1:7" x14ac:dyDescent="0.25">
      <c r="A144" s="388"/>
      <c r="B144" s="396" t="s">
        <v>114</v>
      </c>
      <c r="C144" s="199"/>
      <c r="D144" s="184">
        <v>0</v>
      </c>
      <c r="E144" s="198">
        <f>ROUND((E164+E138+E152)/(1-D150)*D144,2)</f>
        <v>0</v>
      </c>
      <c r="F144" s="102"/>
      <c r="G144" s="102"/>
    </row>
    <row r="145" spans="1:7" x14ac:dyDescent="0.25">
      <c r="A145" s="388"/>
      <c r="B145" s="396"/>
      <c r="C145" s="199"/>
      <c r="D145" s="184">
        <v>0</v>
      </c>
      <c r="E145" s="198">
        <f>ROUND((E164+E141+E152)/(1-D150)*D145,2)</f>
        <v>0</v>
      </c>
      <c r="F145" s="102"/>
      <c r="G145" s="102"/>
    </row>
    <row r="146" spans="1:7" x14ac:dyDescent="0.25">
      <c r="A146" s="388"/>
      <c r="B146" s="397" t="s">
        <v>115</v>
      </c>
      <c r="C146" s="199" t="s">
        <v>116</v>
      </c>
      <c r="D146" s="200">
        <v>0.03</v>
      </c>
      <c r="E146" s="198">
        <f>ROUND((E164+E138+E152)/(1-D150)*D146,2)</f>
        <v>229.89</v>
      </c>
      <c r="F146" s="102"/>
      <c r="G146" s="102"/>
    </row>
    <row r="147" spans="1:7" x14ac:dyDescent="0.25">
      <c r="A147" s="388"/>
      <c r="B147" s="397"/>
      <c r="C147" s="199"/>
      <c r="D147" s="184">
        <v>0</v>
      </c>
      <c r="E147" s="198">
        <f>ROUND((E164+E138+E152)/(1-D161)*D147,2)</f>
        <v>0</v>
      </c>
      <c r="F147" s="102"/>
      <c r="G147" s="102"/>
    </row>
    <row r="148" spans="1:7" x14ac:dyDescent="0.25">
      <c r="A148" s="388"/>
      <c r="B148" s="398" t="s">
        <v>117</v>
      </c>
      <c r="C148" s="199" t="s">
        <v>142</v>
      </c>
      <c r="D148" s="184">
        <f>IF(D9=3,C174,0%)</f>
        <v>0</v>
      </c>
      <c r="E148" s="198">
        <f>ROUND((E164+E138+E152)/(1-D150)*D148,2)</f>
        <v>0</v>
      </c>
      <c r="F148" s="102"/>
      <c r="G148" s="102"/>
    </row>
    <row r="149" spans="1:7" x14ac:dyDescent="0.25">
      <c r="A149" s="388"/>
      <c r="B149" s="399"/>
      <c r="C149" s="199"/>
      <c r="D149" s="184">
        <v>0</v>
      </c>
      <c r="E149" s="198">
        <f>ROUND((E164+E138+E152)/(1-D152)*D149,2)</f>
        <v>0</v>
      </c>
      <c r="F149" s="102"/>
      <c r="G149" s="102"/>
    </row>
    <row r="150" spans="1:7" x14ac:dyDescent="0.25">
      <c r="A150" s="389"/>
      <c r="B150" s="377" t="s">
        <v>145</v>
      </c>
      <c r="C150" s="378"/>
      <c r="D150" s="192">
        <f>SUM(D140:D149)</f>
        <v>0.03</v>
      </c>
      <c r="E150" s="138">
        <f>ROUND(((E164+E138+E152)/(1-D150))*D150,2)</f>
        <v>229.89</v>
      </c>
      <c r="F150" s="108"/>
      <c r="G150" s="102"/>
    </row>
    <row r="151" spans="1:7" x14ac:dyDescent="0.25">
      <c r="A151" s="379" t="s">
        <v>5</v>
      </c>
      <c r="B151" s="381" t="s">
        <v>152</v>
      </c>
      <c r="C151" s="382"/>
      <c r="D151" s="383"/>
      <c r="E151" s="196">
        <f>E39+E54+E67+E133+E138</f>
        <v>5717.7683319999996</v>
      </c>
      <c r="F151" s="102"/>
      <c r="G151" s="102"/>
    </row>
    <row r="152" spans="1:7" x14ac:dyDescent="0.25">
      <c r="A152" s="380"/>
      <c r="B152" s="384" t="s">
        <v>118</v>
      </c>
      <c r="C152" s="384"/>
      <c r="D152" s="201">
        <v>0.3</v>
      </c>
      <c r="E152" s="198">
        <f>(E151*D152)</f>
        <v>1715.3304995999999</v>
      </c>
      <c r="F152" s="102"/>
      <c r="G152" s="102"/>
    </row>
    <row r="153" spans="1:7" x14ac:dyDescent="0.25">
      <c r="A153" s="366" t="s">
        <v>77</v>
      </c>
      <c r="B153" s="366"/>
      <c r="C153" s="366"/>
      <c r="D153" s="171">
        <f>ROUND(SUM(D138+D150+D152),4)</f>
        <v>0.38900000000000001</v>
      </c>
      <c r="E153" s="138">
        <f>E138+E150+E152</f>
        <v>2263.7741649333329</v>
      </c>
      <c r="F153" s="102"/>
      <c r="G153" s="102"/>
    </row>
    <row r="154" spans="1:7" x14ac:dyDescent="0.25">
      <c r="A154" s="149" t="s">
        <v>25</v>
      </c>
      <c r="B154" s="385" t="s">
        <v>119</v>
      </c>
      <c r="C154" s="385"/>
      <c r="D154" s="385"/>
      <c r="E154" s="386"/>
      <c r="F154" s="102"/>
      <c r="G154" s="102"/>
    </row>
    <row r="155" spans="1:7" x14ac:dyDescent="0.25">
      <c r="A155" s="172" t="s">
        <v>26</v>
      </c>
      <c r="B155" s="372" t="s">
        <v>120</v>
      </c>
      <c r="C155" s="372"/>
      <c r="D155" s="372"/>
      <c r="E155" s="373"/>
      <c r="F155" s="102"/>
      <c r="G155" s="102"/>
    </row>
    <row r="156" spans="1:7" x14ac:dyDescent="0.25">
      <c r="A156" s="202"/>
      <c r="B156" s="203"/>
      <c r="C156" s="203"/>
      <c r="D156" s="203"/>
      <c r="E156" s="203"/>
      <c r="F156" s="102"/>
      <c r="G156" s="102"/>
    </row>
    <row r="157" spans="1:7" x14ac:dyDescent="0.25">
      <c r="A157" s="374" t="s">
        <v>178</v>
      </c>
      <c r="B157" s="374"/>
      <c r="C157" s="374"/>
      <c r="D157" s="374"/>
      <c r="E157" s="374"/>
      <c r="F157" s="102"/>
      <c r="G157" s="102"/>
    </row>
    <row r="158" spans="1:7" x14ac:dyDescent="0.25">
      <c r="A158" s="375" t="s">
        <v>121</v>
      </c>
      <c r="B158" s="375"/>
      <c r="C158" s="375"/>
      <c r="D158" s="375"/>
      <c r="E158" s="375"/>
      <c r="F158" s="102"/>
      <c r="G158" s="102"/>
    </row>
    <row r="159" spans="1:7" x14ac:dyDescent="0.25">
      <c r="A159" s="376" t="s">
        <v>122</v>
      </c>
      <c r="B159" s="376"/>
      <c r="C159" s="376"/>
      <c r="D159" s="376"/>
      <c r="E159" s="121" t="s">
        <v>129</v>
      </c>
      <c r="F159" s="102"/>
      <c r="G159" s="102"/>
    </row>
    <row r="160" spans="1:7" x14ac:dyDescent="0.25">
      <c r="A160" s="117" t="s">
        <v>3</v>
      </c>
      <c r="B160" s="365" t="s">
        <v>125</v>
      </c>
      <c r="C160" s="365"/>
      <c r="D160" s="365"/>
      <c r="E160" s="204">
        <f>E39</f>
        <v>1869</v>
      </c>
      <c r="F160" s="102"/>
      <c r="G160" s="102"/>
    </row>
    <row r="161" spans="1:7" x14ac:dyDescent="0.25">
      <c r="A161" s="117" t="s">
        <v>4</v>
      </c>
      <c r="B161" s="365" t="s">
        <v>126</v>
      </c>
      <c r="C161" s="365"/>
      <c r="D161" s="365"/>
      <c r="E161" s="204">
        <f>E54</f>
        <v>143.22</v>
      </c>
      <c r="F161" s="102"/>
      <c r="G161" s="102"/>
    </row>
    <row r="162" spans="1:7" x14ac:dyDescent="0.25">
      <c r="A162" s="117" t="s">
        <v>5</v>
      </c>
      <c r="B162" s="365" t="s">
        <v>127</v>
      </c>
      <c r="C162" s="365"/>
      <c r="D162" s="365"/>
      <c r="E162" s="204">
        <f>E67</f>
        <v>2130.414666666667</v>
      </c>
      <c r="F162" s="102"/>
      <c r="G162" s="102"/>
    </row>
    <row r="163" spans="1:7" x14ac:dyDescent="0.25">
      <c r="A163" s="117" t="s">
        <v>6</v>
      </c>
      <c r="B163" s="365" t="s">
        <v>102</v>
      </c>
      <c r="C163" s="365"/>
      <c r="D163" s="365"/>
      <c r="E163" s="204">
        <f>E133</f>
        <v>1256.58</v>
      </c>
      <c r="F163" s="102"/>
      <c r="G163" s="102"/>
    </row>
    <row r="164" spans="1:7" x14ac:dyDescent="0.25">
      <c r="A164" s="366" t="s">
        <v>123</v>
      </c>
      <c r="B164" s="366"/>
      <c r="C164" s="366"/>
      <c r="D164" s="366"/>
      <c r="E164" s="205">
        <f>SUM(E160:E163)</f>
        <v>5399.2146666666667</v>
      </c>
      <c r="F164" s="102"/>
      <c r="G164" s="102"/>
    </row>
    <row r="165" spans="1:7" x14ac:dyDescent="0.25">
      <c r="A165" s="117" t="s">
        <v>31</v>
      </c>
      <c r="B165" s="367" t="s">
        <v>128</v>
      </c>
      <c r="C165" s="368"/>
      <c r="D165" s="369"/>
      <c r="E165" s="204">
        <f>E153</f>
        <v>2263.7741649333329</v>
      </c>
      <c r="F165" s="102"/>
      <c r="G165" s="102"/>
    </row>
    <row r="166" spans="1:7" x14ac:dyDescent="0.25">
      <c r="A166" s="370" t="s">
        <v>124</v>
      </c>
      <c r="B166" s="371"/>
      <c r="C166" s="371"/>
      <c r="D166" s="371"/>
      <c r="E166" s="205">
        <f>E164+E165</f>
        <v>7662.9888315999997</v>
      </c>
      <c r="F166" s="108"/>
      <c r="G166" s="102"/>
    </row>
    <row r="167" spans="1:7" x14ac:dyDescent="0.25">
      <c r="A167" s="370" t="s">
        <v>175</v>
      </c>
      <c r="B167" s="371"/>
      <c r="C167" s="371"/>
      <c r="D167" s="371"/>
      <c r="E167" s="205">
        <f>ROUND((E166/D18),2)</f>
        <v>10.210000000000001</v>
      </c>
      <c r="F167" s="102"/>
      <c r="G167" s="102"/>
    </row>
    <row r="168" spans="1:7" x14ac:dyDescent="0.25">
      <c r="A168" s="125"/>
      <c r="B168" s="125"/>
      <c r="C168" s="125"/>
      <c r="D168" s="125"/>
      <c r="E168" s="125"/>
      <c r="F168" s="102"/>
      <c r="G168" s="102"/>
    </row>
    <row r="169" spans="1:7" x14ac:dyDescent="0.25">
      <c r="A169" s="125"/>
      <c r="B169" s="357" t="s">
        <v>159</v>
      </c>
      <c r="C169" s="357"/>
      <c r="D169" s="357"/>
      <c r="E169" s="357"/>
      <c r="F169" s="102"/>
      <c r="G169" s="102"/>
    </row>
    <row r="170" spans="1:7" x14ac:dyDescent="0.25">
      <c r="A170" s="125"/>
      <c r="B170" s="358" t="s">
        <v>155</v>
      </c>
      <c r="C170" s="358"/>
      <c r="D170" s="359" t="s">
        <v>160</v>
      </c>
      <c r="E170" s="359"/>
      <c r="F170" s="102"/>
      <c r="G170" s="102"/>
    </row>
    <row r="171" spans="1:7" x14ac:dyDescent="0.25">
      <c r="A171" s="125"/>
      <c r="B171" s="206" t="s">
        <v>156</v>
      </c>
      <c r="C171" s="206" t="s">
        <v>157</v>
      </c>
      <c r="D171" s="360">
        <v>120000</v>
      </c>
      <c r="E171" s="360"/>
      <c r="F171" s="102"/>
      <c r="G171" s="102"/>
    </row>
    <row r="172" spans="1:7" x14ac:dyDescent="0.25">
      <c r="A172" s="125"/>
      <c r="B172" s="206" t="s">
        <v>111</v>
      </c>
      <c r="C172" s="207">
        <v>0</v>
      </c>
      <c r="D172" s="361" t="s">
        <v>176</v>
      </c>
      <c r="E172" s="362"/>
      <c r="F172" s="102"/>
      <c r="G172" s="102"/>
    </row>
    <row r="173" spans="1:7" x14ac:dyDescent="0.25">
      <c r="A173" s="125"/>
      <c r="B173" s="206" t="s">
        <v>113</v>
      </c>
      <c r="C173" s="207">
        <v>0</v>
      </c>
      <c r="D173" s="363"/>
      <c r="E173" s="364"/>
      <c r="F173" s="102"/>
      <c r="G173" s="102"/>
    </row>
    <row r="174" spans="1:7" x14ac:dyDescent="0.25">
      <c r="A174" s="125"/>
      <c r="B174" s="206" t="s">
        <v>158</v>
      </c>
      <c r="C174" s="207">
        <v>0</v>
      </c>
      <c r="D174" s="125"/>
      <c r="E174" s="125"/>
      <c r="F174" s="102"/>
      <c r="G174" s="102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Jucier Lopes Paiva</cp:lastModifiedBy>
  <cp:lastPrinted>2021-07-06T16:51:05Z</cp:lastPrinted>
  <dcterms:created xsi:type="dcterms:W3CDTF">2011-03-21T16:34:02Z</dcterms:created>
  <dcterms:modified xsi:type="dcterms:W3CDTF">2021-07-06T16:51:51Z</dcterms:modified>
</cp:coreProperties>
</file>