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105" yWindow="-15" windowWidth="11910" windowHeight="9840" tabRatio="802" activeTab="5"/>
  </bookViews>
  <sheets>
    <sheet name="1. Coleta Domiciliar" sheetId="2" r:id="rId1"/>
    <sheet name="2.Encargos Sociais" sheetId="8" r:id="rId2"/>
    <sheet name="3.CAGED" sheetId="5" r:id="rId3"/>
    <sheet name="4.BDI" sheetId="4" r:id="rId4"/>
    <sheet name="5. Depreciação" sheetId="6" r:id="rId5"/>
    <sheet name="6.Remuneração de capital" sheetId="7" r:id="rId6"/>
    <sheet name="7. Dimensionamento" sheetId="9" r:id="rId7"/>
  </sheets>
  <definedNames>
    <definedName name="AbaDeprec">'5. Depreciação'!$A$1</definedName>
    <definedName name="AbaRemun">'6.Remuneração de capital'!$A$1</definedName>
    <definedName name="_xlnm.Print_Area" localSheetId="0">'1. Coleta Domiciliar'!$A$1:$F$299</definedName>
    <definedName name="_xlnm.Print_Area" localSheetId="1">'2.Encargos Sociais'!$A$1:$C$39</definedName>
    <definedName name="_xlnm.Print_Titles" localSheetId="0">'1. Coleta Domiciliar'!$1:$8</definedName>
  </definedNames>
  <calcPr calcId="145621"/>
</workbook>
</file>

<file path=xl/calcChain.xml><?xml version="1.0" encoding="utf-8"?>
<calcChain xmlns="http://schemas.openxmlformats.org/spreadsheetml/2006/main">
  <c r="A48" i="2" l="1"/>
  <c r="C21" i="9" l="1"/>
  <c r="C23" i="5" l="1"/>
  <c r="C218" i="2" l="1"/>
  <c r="C217" i="2"/>
  <c r="C219" i="2"/>
  <c r="A35" i="2" l="1"/>
  <c r="A34" i="2"/>
  <c r="A33" i="2"/>
  <c r="A25" i="2"/>
  <c r="A24" i="2"/>
  <c r="A16" i="2"/>
  <c r="C13" i="9" l="1"/>
  <c r="C14" i="9" s="1"/>
  <c r="C15" i="9" l="1"/>
  <c r="C17" i="9"/>
  <c r="C22" i="9" s="1"/>
  <c r="C24" i="9" s="1"/>
  <c r="C188" i="2"/>
  <c r="C193" i="2"/>
  <c r="E44" i="2" l="1"/>
  <c r="E43" i="2"/>
  <c r="E42" i="2"/>
  <c r="E41" i="2"/>
  <c r="E48" i="2"/>
  <c r="C212" i="2" l="1"/>
  <c r="C207" i="2"/>
  <c r="D237" i="2"/>
  <c r="D235" i="2"/>
  <c r="D233" i="2"/>
  <c r="D231" i="2"/>
  <c r="D167" i="2" l="1"/>
  <c r="E167" i="2" s="1"/>
  <c r="E151" i="2"/>
  <c r="E152" i="2"/>
  <c r="E153" i="2"/>
  <c r="E154" i="2"/>
  <c r="E155" i="2"/>
  <c r="E156" i="2"/>
  <c r="E157" i="2"/>
  <c r="E158" i="2"/>
  <c r="E159" i="2"/>
  <c r="E150" i="2"/>
  <c r="D59" i="2" l="1"/>
  <c r="E59" i="2" s="1"/>
  <c r="D58" i="2"/>
  <c r="E58" i="2" s="1"/>
  <c r="D91" i="2"/>
  <c r="E91" i="2" s="1"/>
  <c r="C110" i="2"/>
  <c r="D60" i="2" l="1"/>
  <c r="E60" i="2" s="1"/>
  <c r="C113" i="2"/>
  <c r="D92" i="2"/>
  <c r="E92" i="2" s="1"/>
  <c r="D93" i="2" s="1"/>
  <c r="E93" i="2" s="1"/>
  <c r="C78" i="2"/>
  <c r="C75" i="2"/>
  <c r="C252" i="2" l="1"/>
  <c r="D105" i="2"/>
  <c r="A32" i="2"/>
  <c r="A31" i="2"/>
  <c r="A30" i="2"/>
  <c r="A29" i="2"/>
  <c r="A28" i="2"/>
  <c r="A27" i="2"/>
  <c r="A26" i="2"/>
  <c r="A23" i="2"/>
  <c r="A22" i="2"/>
  <c r="A21" i="2"/>
  <c r="A20" i="2"/>
  <c r="A19" i="2"/>
  <c r="A18" i="2"/>
  <c r="A17" i="2"/>
  <c r="C20" i="8"/>
  <c r="E277" i="2"/>
  <c r="E221" i="2"/>
  <c r="E213" i="2"/>
  <c r="E197" i="2"/>
  <c r="E175" i="2"/>
  <c r="E162" i="2"/>
  <c r="E141" i="2"/>
  <c r="E121" i="2"/>
  <c r="E100" i="2"/>
  <c r="E85" i="2"/>
  <c r="E66" i="2"/>
  <c r="D201" i="2"/>
  <c r="C15" i="4"/>
  <c r="C20" i="4" s="1"/>
  <c r="C286" i="2" s="1"/>
  <c r="F13" i="4"/>
  <c r="E13" i="4"/>
  <c r="D13" i="4"/>
  <c r="C17" i="8"/>
  <c r="C25" i="5"/>
  <c r="C116" i="2"/>
  <c r="C107" i="2"/>
  <c r="D104" i="2"/>
  <c r="D110" i="2" s="1"/>
  <c r="E110" i="2" s="1"/>
  <c r="E89" i="2"/>
  <c r="D128" i="2" s="1"/>
  <c r="C128" i="2"/>
  <c r="C250" i="2"/>
  <c r="E250" i="2" s="1"/>
  <c r="C229" i="2"/>
  <c r="C231" i="2" s="1"/>
  <c r="E231" i="2" s="1"/>
  <c r="D229" i="2"/>
  <c r="D238" i="2" s="1"/>
  <c r="E185" i="2"/>
  <c r="D206" i="2"/>
  <c r="C194" i="2"/>
  <c r="C189" i="2"/>
  <c r="C72" i="2"/>
  <c r="D70" i="2"/>
  <c r="C273" i="2"/>
  <c r="C275" i="2" s="1"/>
  <c r="E275" i="2" s="1"/>
  <c r="D276" i="2" s="1"/>
  <c r="E276" i="2" s="1"/>
  <c r="C190" i="2"/>
  <c r="C206" i="2" s="1"/>
  <c r="C127" i="2"/>
  <c r="A41" i="2"/>
  <c r="A42" i="2"/>
  <c r="A43" i="2"/>
  <c r="A44" i="2"/>
  <c r="E57" i="2"/>
  <c r="D127" i="2" s="1"/>
  <c r="C80" i="2"/>
  <c r="A133" i="2"/>
  <c r="A139" i="2" s="1"/>
  <c r="A134" i="2"/>
  <c r="A140" i="2" s="1"/>
  <c r="E160" i="2"/>
  <c r="D168" i="2"/>
  <c r="E168" i="2" s="1"/>
  <c r="D169" i="2"/>
  <c r="E169" i="2" s="1"/>
  <c r="D170" i="2"/>
  <c r="E170" i="2" s="1"/>
  <c r="D171" i="2"/>
  <c r="E171" i="2" s="1"/>
  <c r="D172" i="2"/>
  <c r="E172" i="2" s="1"/>
  <c r="E173" i="2"/>
  <c r="E248" i="2"/>
  <c r="E219" i="2"/>
  <c r="E218" i="2"/>
  <c r="E261" i="2"/>
  <c r="E264" i="2"/>
  <c r="E265" i="2"/>
  <c r="E262" i="2"/>
  <c r="E263" i="2"/>
  <c r="D95" i="2" l="1"/>
  <c r="E95" i="2" s="1"/>
  <c r="C27" i="5"/>
  <c r="C28" i="5" s="1"/>
  <c r="C26" i="5"/>
  <c r="C31" i="8" s="1"/>
  <c r="D188" i="2"/>
  <c r="D217" i="2"/>
  <c r="D78" i="2"/>
  <c r="E78" i="2" s="1"/>
  <c r="D73" i="2"/>
  <c r="E73" i="2" s="1"/>
  <c r="E104" i="2"/>
  <c r="D108" i="2"/>
  <c r="E108" i="2" s="1"/>
  <c r="D111" i="2"/>
  <c r="E111" i="2" s="1"/>
  <c r="D113" i="2"/>
  <c r="E113" i="2" s="1"/>
  <c r="D107" i="2"/>
  <c r="E107" i="2" s="1"/>
  <c r="D76" i="2"/>
  <c r="E76" i="2" s="1"/>
  <c r="D75" i="2"/>
  <c r="E75" i="2" s="1"/>
  <c r="C235" i="2"/>
  <c r="E235" i="2" s="1"/>
  <c r="D72" i="2"/>
  <c r="E72" i="2" s="1"/>
  <c r="C237" i="2"/>
  <c r="E237" i="2" s="1"/>
  <c r="F266" i="2"/>
  <c r="F268" i="2" s="1"/>
  <c r="E33" i="2" s="1"/>
  <c r="C134" i="2"/>
  <c r="E134" i="2" s="1"/>
  <c r="E229" i="2"/>
  <c r="E70" i="2"/>
  <c r="E190" i="2"/>
  <c r="C208" i="2" s="1"/>
  <c r="D161" i="2"/>
  <c r="C133" i="2"/>
  <c r="E133" i="2" s="1"/>
  <c r="C161" i="2"/>
  <c r="E45" i="2"/>
  <c r="C139" i="2"/>
  <c r="E139" i="2" s="1"/>
  <c r="E127" i="2"/>
  <c r="E206" i="2"/>
  <c r="C140" i="2"/>
  <c r="E140" i="2" s="1"/>
  <c r="D61" i="2"/>
  <c r="E61" i="2" s="1"/>
  <c r="E62" i="2" s="1"/>
  <c r="D63" i="2" s="1"/>
  <c r="C174" i="2"/>
  <c r="C233" i="2"/>
  <c r="E233" i="2" s="1"/>
  <c r="C243" i="2"/>
  <c r="E243" i="2" s="1"/>
  <c r="F244" i="2" s="1"/>
  <c r="E31" i="2" s="1"/>
  <c r="E273" i="2"/>
  <c r="D274" i="2" s="1"/>
  <c r="E274" i="2" s="1"/>
  <c r="F277" i="2" s="1"/>
  <c r="F279" i="2" s="1"/>
  <c r="E34" i="2" s="1"/>
  <c r="E201" i="2"/>
  <c r="D251" i="2"/>
  <c r="E251" i="2" s="1"/>
  <c r="D252" i="2" s="1"/>
  <c r="E252" i="2" s="1"/>
  <c r="F253" i="2" s="1"/>
  <c r="E32" i="2" s="1"/>
  <c r="E128" i="2"/>
  <c r="E188" i="2"/>
  <c r="D174" i="2"/>
  <c r="E96" i="2"/>
  <c r="C30" i="8" l="1"/>
  <c r="C33" i="5"/>
  <c r="C27" i="8" s="1"/>
  <c r="C35" i="8" s="1"/>
  <c r="D189" i="2"/>
  <c r="E189" i="2" s="1"/>
  <c r="E217" i="2"/>
  <c r="D220" i="2" s="1"/>
  <c r="E220" i="2" s="1"/>
  <c r="F221" i="2" s="1"/>
  <c r="E29" i="2" s="1"/>
  <c r="C203" i="2"/>
  <c r="C204" i="2" s="1"/>
  <c r="D205" i="2" s="1"/>
  <c r="E205" i="2" s="1"/>
  <c r="C28" i="8"/>
  <c r="C19" i="8"/>
  <c r="C25" i="8" s="1"/>
  <c r="C34" i="8" s="1"/>
  <c r="D79" i="2"/>
  <c r="E79" i="2" s="1"/>
  <c r="D80" i="2" s="1"/>
  <c r="E80" i="2" s="1"/>
  <c r="D114" i="2"/>
  <c r="E114" i="2" s="1"/>
  <c r="D116" i="2" s="1"/>
  <c r="E116" i="2" s="1"/>
  <c r="F135" i="2"/>
  <c r="E22" i="2" s="1"/>
  <c r="F141" i="2"/>
  <c r="E23" i="2" s="1"/>
  <c r="E174" i="2"/>
  <c r="F175" i="2" s="1"/>
  <c r="E161" i="2"/>
  <c r="F162" i="2" s="1"/>
  <c r="D193" i="2"/>
  <c r="E193" i="2" s="1"/>
  <c r="D194" i="2" s="1"/>
  <c r="E194" i="2" s="1"/>
  <c r="F129" i="2"/>
  <c r="E21" i="2" s="1"/>
  <c r="F239" i="2"/>
  <c r="E30" i="2" s="1"/>
  <c r="D97" i="2"/>
  <c r="C29" i="8" l="1"/>
  <c r="C32" i="8" s="1"/>
  <c r="C36" i="8"/>
  <c r="E195" i="2"/>
  <c r="D196" i="2" s="1"/>
  <c r="E196" i="2" s="1"/>
  <c r="F197" i="2" s="1"/>
  <c r="E27" i="2" s="1"/>
  <c r="C209" i="2"/>
  <c r="D210" i="2" s="1"/>
  <c r="E210" i="2" s="1"/>
  <c r="E211" i="2" s="1"/>
  <c r="D212" i="2" s="1"/>
  <c r="E212" i="2" s="1"/>
  <c r="F213" i="2" s="1"/>
  <c r="F177" i="2"/>
  <c r="E24" i="2" s="1"/>
  <c r="E117" i="2"/>
  <c r="D118" i="2" s="1"/>
  <c r="E81" i="2"/>
  <c r="C37" i="8" l="1"/>
  <c r="C97" i="2" s="1"/>
  <c r="E28" i="2"/>
  <c r="E26" i="2" s="1"/>
  <c r="F256" i="2"/>
  <c r="E25" i="2" s="1"/>
  <c r="D82" i="2"/>
  <c r="C82" i="2" l="1"/>
  <c r="E82" i="2" s="1"/>
  <c r="E83" i="2" s="1"/>
  <c r="D84" i="2" s="1"/>
  <c r="E84" i="2" s="1"/>
  <c r="F85" i="2" s="1"/>
  <c r="E18" i="2" s="1"/>
  <c r="C63" i="2"/>
  <c r="E63" i="2" s="1"/>
  <c r="E64" i="2" s="1"/>
  <c r="D65" i="2" s="1"/>
  <c r="E65" i="2" s="1"/>
  <c r="F66" i="2" s="1"/>
  <c r="E17" i="2" s="1"/>
  <c r="C118" i="2"/>
  <c r="E118" i="2" s="1"/>
  <c r="E119" i="2" s="1"/>
  <c r="D120" i="2" s="1"/>
  <c r="E120" i="2" s="1"/>
  <c r="F121" i="2" s="1"/>
  <c r="E20" i="2" s="1"/>
  <c r="E97" i="2"/>
  <c r="E98" i="2" s="1"/>
  <c r="D99" i="2" s="1"/>
  <c r="E99" i="2" s="1"/>
  <c r="F100" i="2" s="1"/>
  <c r="E19" i="2" s="1"/>
  <c r="F143" i="2" l="1"/>
  <c r="F281" i="2" s="1"/>
  <c r="E16" i="2" l="1"/>
  <c r="D286" i="2"/>
  <c r="E286" i="2" s="1"/>
  <c r="F287" i="2" s="1"/>
  <c r="F289" i="2" s="1"/>
  <c r="E35" i="2" s="1"/>
  <c r="E36" i="2" l="1"/>
  <c r="F16" i="2" s="1"/>
  <c r="F292" i="2"/>
  <c r="F34" i="2" l="1"/>
  <c r="F18" i="2"/>
  <c r="F24" i="2"/>
  <c r="F17" i="2"/>
  <c r="F23" i="2"/>
  <c r="F20" i="2"/>
  <c r="F25" i="2"/>
  <c r="F32" i="2"/>
  <c r="F31" i="2"/>
  <c r="F19" i="2"/>
  <c r="F26" i="2"/>
  <c r="F27" i="2"/>
  <c r="F28" i="2"/>
  <c r="F22" i="2"/>
  <c r="F29" i="2"/>
  <c r="F21" i="2"/>
  <c r="F33" i="2"/>
  <c r="F30" i="2"/>
  <c r="F35" i="2"/>
  <c r="F36" i="2" l="1"/>
</calcChain>
</file>

<file path=xl/comments1.xml><?xml version="1.0" encoding="utf-8"?>
<comments xmlns="http://schemas.openxmlformats.org/spreadsheetml/2006/main">
  <authors>
    <author>Clauber Bridi</author>
  </authors>
  <commentList>
    <comment ref="A14" authorId="0">
      <text>
        <r>
          <rPr>
            <sz val="9"/>
            <color indexed="81"/>
            <rFont val="Tahoma"/>
            <family val="2"/>
          </rPr>
          <t>Qualquer custo previsto no edital e não contemplado nesta planilha modelo deverá ser devidamente incluído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51" authorId="0">
      <text>
        <r>
          <rPr>
            <b/>
            <sz val="9"/>
            <color indexed="81"/>
            <rFont val="Tahoma"/>
            <family val="2"/>
          </rPr>
          <t>Informar o fator de utilização das equipes de coleta. 
Por exemplo:
Equipes com utilização integral = 100%
Equipes com utilização parcial = n° horas trabalhadas por semana /44 horas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57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C58" authorId="0">
      <text>
        <r>
          <rPr>
            <sz val="9"/>
            <color indexed="81"/>
            <rFont val="Tahoma"/>
            <family val="2"/>
          </rPr>
          <t>Informar o número de horas extras trabalhadas nos domingos e feriados em horário diurno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9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60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3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65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71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73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74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76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77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79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82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84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89" authorId="0">
      <text>
        <r>
          <rPr>
            <sz val="9"/>
            <color indexed="81"/>
            <rFont val="Tahoma"/>
            <family val="2"/>
          </rPr>
          <t>Informar o Piso da categoria fixado na Convenção Coletiva</t>
        </r>
      </text>
    </comment>
    <comment ref="D90" authorId="0">
      <text>
        <r>
          <rPr>
            <sz val="9"/>
            <color indexed="81"/>
            <rFont val="Tahoma"/>
            <family val="2"/>
          </rPr>
          <t>Informar o valor do salário Mínimo Nacional</t>
        </r>
      </text>
    </comment>
    <comment ref="C91" authorId="0">
      <text>
        <r>
          <rPr>
            <sz val="9"/>
            <color indexed="81"/>
            <rFont val="Tahoma"/>
            <family val="2"/>
          </rPr>
          <t>Informar o número de horas extras trabalhadas em horário diurno nos domingos e feriados</t>
        </r>
      </text>
    </comment>
    <comment ref="C92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diurno de segunda a sábado 
</t>
        </r>
      </text>
    </comment>
    <comment ref="A93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Considerada a média de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94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95" authorId="0">
      <text>
        <r>
          <rPr>
            <sz val="9"/>
            <color indexed="81"/>
            <rFont val="Tahoma"/>
            <family val="2"/>
          </rPr>
          <t>Percentual estabelecido nas Normas de Segurança de Trabalho ou pelo laudo de responsável técnico devidamente habilitado</t>
        </r>
      </text>
    </comment>
    <comment ref="C97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99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C106" authorId="0">
      <text>
        <r>
          <rPr>
            <sz val="9"/>
            <color indexed="81"/>
            <rFont val="Tahoma"/>
            <family val="2"/>
          </rPr>
          <t>Informar o número de horas noturnas trabalhadas no intervalo das 22:00h as 5:00h</t>
        </r>
      </text>
    </comment>
    <comment ref="C108" authorId="0">
      <text>
        <r>
          <rPr>
            <sz val="9"/>
            <color indexed="81"/>
            <rFont val="Tahoma"/>
            <family val="2"/>
          </rPr>
          <t>Informar o número de horas extras trabalhadas em horário noturno nos domingos e feriados</t>
        </r>
      </text>
    </comment>
    <comment ref="C109" authorId="0">
      <text>
        <r>
          <rPr>
            <sz val="9"/>
            <color indexed="81"/>
            <rFont val="Tahoma"/>
            <family val="2"/>
          </rPr>
          <t xml:space="preserve">Informar o número de horas extras trabalhadas em horário noturno (das 22:00h as 5h) nos domingos e feriados
</t>
        </r>
      </text>
    </comment>
    <comment ref="C111" authorId="0">
      <text>
        <r>
          <rPr>
            <sz val="9"/>
            <color indexed="81"/>
            <rFont val="Tahoma"/>
            <family val="2"/>
          </rPr>
          <t>Informar o número de horas extras trabalhadas em horário noturno de segunda à sábado</t>
        </r>
      </text>
    </comment>
    <comment ref="C112" authorId="0">
      <text>
        <r>
          <rPr>
            <sz val="9"/>
            <color indexed="81"/>
            <rFont val="Tahoma"/>
            <family val="2"/>
          </rPr>
          <t>Informar o número de horas extras trabalhadas em horário noturno (das 22:00h as 5h) de segunda a sábado</t>
        </r>
      </text>
    </comment>
    <comment ref="A114" authorId="0">
      <text>
        <r>
          <rPr>
            <sz val="9"/>
            <color indexed="81"/>
            <rFont val="Tahoma"/>
            <family val="2"/>
          </rPr>
          <t>Cálculo do descanso semanal remunerado incidente sobre as horas extras habitualmente prestadas. Considerados 63 feriados + domingos e 302 dias trabalhados por ano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15" authorId="0">
      <text>
        <r>
          <rPr>
            <sz val="9"/>
            <color indexed="81"/>
            <rFont val="Tahoma"/>
            <family val="2"/>
          </rPr>
          <t xml:space="preserve">Informar 1 se a base de cálculo for o Salário Mínimo Nacional; Informar 2 se a base de cálculo for o Piso da Categoria; 
</t>
        </r>
      </text>
    </comment>
    <comment ref="C118" authorId="0">
      <text>
        <r>
          <rPr>
            <sz val="9"/>
            <color indexed="81"/>
            <rFont val="Tahoma"/>
            <family val="2"/>
          </rPr>
          <t xml:space="preserve">Preencher a planilha Encargos Sociais e CAGED </t>
        </r>
      </text>
    </comment>
    <comment ref="C120" authorId="0">
      <text>
        <r>
          <rPr>
            <sz val="9"/>
            <color indexed="81"/>
            <rFont val="Tahoma"/>
            <family val="2"/>
          </rPr>
          <t>Informar a quantidade de trabalhadores na função</t>
        </r>
      </text>
    </comment>
    <comment ref="D125" authorId="0">
      <text>
        <r>
          <rPr>
            <sz val="9"/>
            <color indexed="81"/>
            <rFont val="Tahoma"/>
            <family val="2"/>
          </rPr>
          <t>Informar o valor unitário do VT no município</t>
        </r>
      </text>
    </comment>
    <comment ref="C126" authorId="0">
      <text>
        <r>
          <rPr>
            <sz val="9"/>
            <color indexed="81"/>
            <rFont val="Tahoma"/>
            <family val="2"/>
          </rPr>
          <t>Informar o número médio de dias trabalhados por mês</t>
        </r>
      </text>
    </comment>
    <comment ref="D127" authorId="0">
      <text>
        <r>
          <rPr>
            <sz val="9"/>
            <color indexed="81"/>
            <rFont val="Tahoma"/>
            <family val="2"/>
          </rPr>
          <t>Valor Unitário considerando o desconto legal de até 6% do salário</t>
        </r>
      </text>
    </comment>
    <comment ref="D128" authorId="0">
      <text>
        <r>
          <rPr>
            <sz val="9"/>
            <color indexed="81"/>
            <rFont val="Tahoma"/>
            <family val="2"/>
          </rPr>
          <t xml:space="preserve">Valor Unitário considerando o desconto legal de até 6% do salário
</t>
        </r>
      </text>
    </comment>
    <comment ref="D133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4" authorId="0">
      <text>
        <r>
          <rPr>
            <sz val="9"/>
            <color indexed="81"/>
            <rFont val="Tahoma"/>
            <family val="2"/>
          </rPr>
          <t>Informar o valor unitário diário do vale refeição, considerando o desconto aplicável ao funcionário, conforme Convenção Coletiva da categoria.</t>
        </r>
      </text>
    </comment>
    <comment ref="D139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D140" authorId="0">
      <text>
        <r>
          <rPr>
            <sz val="9"/>
            <color indexed="81"/>
            <rFont val="Tahoma"/>
            <family val="2"/>
          </rPr>
          <t>Informar o valor mensal do auxilio alimentação, considerando o desconto aplicável ao funcionário, conforme Convenção Coletiva da categoria</t>
        </r>
      </text>
    </comment>
    <comment ref="C15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0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1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2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3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3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4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4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5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5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6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6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7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8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C15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59" authorId="0">
      <text>
        <r>
          <rPr>
            <sz val="9"/>
            <color indexed="81"/>
            <rFont val="Tahoma"/>
            <family val="2"/>
          </rPr>
          <t>Informar o valor unitário estimado para aquisição de cada EPI</t>
        </r>
      </text>
    </comment>
    <comment ref="D160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C167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8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69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0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1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C172" authorId="0">
      <text>
        <r>
          <rPr>
            <sz val="9"/>
            <color indexed="81"/>
            <rFont val="Tahoma"/>
            <family val="2"/>
          </rPr>
          <t xml:space="preserve">Informar a durabilidade estimada em meses, para cada EPI
</t>
        </r>
      </text>
    </comment>
    <comment ref="D173" authorId="0">
      <text>
        <r>
          <rPr>
            <sz val="9"/>
            <color indexed="81"/>
            <rFont val="Tahoma"/>
            <family val="2"/>
          </rPr>
          <t>Informar o valor mensal de higienização de uniforme para 1 funcionário</t>
        </r>
      </text>
    </comment>
    <comment ref="D185" authorId="0">
      <text>
        <r>
          <rPr>
            <sz val="9"/>
            <color indexed="81"/>
            <rFont val="Tahoma"/>
            <family val="2"/>
          </rPr>
          <t>Informar o preço unitário do chassis do caminhão de coleta</t>
        </r>
      </text>
    </comment>
    <comment ref="C186" authorId="0">
      <text>
        <r>
          <rPr>
            <sz val="9"/>
            <color indexed="81"/>
            <rFont val="Tahoma"/>
            <family val="2"/>
          </rPr>
          <t>Informar a vida útil estimada para o caminhão, em anos</t>
        </r>
      </text>
    </comment>
    <comment ref="C187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veículo proposto.</t>
        </r>
      </text>
    </comment>
    <comment ref="C188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caminhão,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190" authorId="0">
      <text>
        <r>
          <rPr>
            <sz val="9"/>
            <color indexed="81"/>
            <rFont val="Tahoma"/>
            <family val="2"/>
          </rPr>
          <t xml:space="preserve">Informar o preço unitário do equipamento compactador
</t>
        </r>
      </text>
    </comment>
    <comment ref="C191" authorId="0">
      <text>
        <r>
          <rPr>
            <sz val="9"/>
            <color indexed="81"/>
            <rFont val="Tahoma"/>
            <family val="2"/>
          </rPr>
          <t>Informar a vida útil estimada para o compactador, em anos</t>
        </r>
      </text>
    </comment>
    <comment ref="C192" authorId="0">
      <text>
        <r>
          <rPr>
            <sz val="9"/>
            <color indexed="81"/>
            <rFont val="Tahoma"/>
            <family val="2"/>
          </rPr>
          <t>Na elaboração do orçamento-base da licitação, informar 0 (zero). Na proposta da licitante, informar a idade do compactador proposto.</t>
        </r>
      </text>
    </comment>
    <comment ref="C193" authorId="0">
      <text>
        <r>
          <rPr>
            <b/>
            <sz val="9"/>
            <color indexed="81"/>
            <rFont val="Tahoma"/>
            <family val="2"/>
          </rPr>
          <t xml:space="preserve">Informar o valor da depreciação do compactador, adotando o valor sugerido pelo TCE ou outro valor estimado 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96" authorId="0">
      <text>
        <r>
          <rPr>
            <sz val="9"/>
            <color indexed="81"/>
            <rFont val="Tahoma"/>
            <family val="2"/>
          </rPr>
          <t>Informar a quantidade de caminhões compactadores do respectivo modelo</t>
        </r>
      </text>
    </comment>
    <comment ref="C202" authorId="0">
      <text>
        <r>
          <rPr>
            <b/>
            <sz val="9"/>
            <color indexed="81"/>
            <rFont val="Tahoma"/>
            <family val="2"/>
          </rPr>
          <t>Informar a taxa de juros anual para remuneração do capital. Recomenda-se o uso da Taxa SELIC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18" authorId="0">
      <text>
        <r>
          <rPr>
            <sz val="9"/>
            <color indexed="81"/>
            <rFont val="Tahoma"/>
            <family val="2"/>
          </rPr>
          <t xml:space="preserve">Informar o valor do seguro obrigatório e licenciamento anual de um caminhão
</t>
        </r>
      </text>
    </comment>
    <comment ref="D219" authorId="0">
      <text>
        <r>
          <rPr>
            <sz val="9"/>
            <color indexed="81"/>
            <rFont val="Tahoma"/>
            <family val="2"/>
          </rPr>
          <t xml:space="preserve">Informar o valor do seguro contra terceiros de um caminhão, se houver previsão no Projeto Básico
</t>
        </r>
      </text>
    </comment>
    <comment ref="B225" authorId="0">
      <text>
        <r>
          <rPr>
            <sz val="9"/>
            <color indexed="81"/>
            <rFont val="Tahoma"/>
            <family val="2"/>
          </rPr>
          <t xml:space="preserve">Informar a quilometragem mensal percorrida, de acordo com o projeto básico
</t>
        </r>
      </text>
    </comment>
    <comment ref="C228" authorId="0">
      <text>
        <r>
          <rPr>
            <sz val="9"/>
            <color indexed="81"/>
            <rFont val="Tahoma"/>
            <family val="2"/>
          </rPr>
          <t>Informar o consumo estimado do veículo em km/l</t>
        </r>
      </text>
    </comment>
    <comment ref="D228" authorId="0">
      <text>
        <r>
          <rPr>
            <sz val="9"/>
            <color indexed="81"/>
            <rFont val="Tahoma"/>
            <family val="2"/>
          </rPr>
          <t xml:space="preserve">Informar o preço unitário do combustivel
</t>
        </r>
      </text>
    </comment>
    <comment ref="C230" authorId="0">
      <text>
        <r>
          <rPr>
            <sz val="9"/>
            <color indexed="81"/>
            <rFont val="Tahoma"/>
            <family val="2"/>
          </rPr>
          <t>Informar o consumo de óleo do motor a cada 1000km</t>
        </r>
      </text>
    </comment>
    <comment ref="D230" authorId="0">
      <text>
        <r>
          <rPr>
            <sz val="9"/>
            <color indexed="81"/>
            <rFont val="Tahoma"/>
            <family val="2"/>
          </rPr>
          <t xml:space="preserve">Informar o preço unitário do litro do óleo do motor
</t>
        </r>
      </text>
    </comment>
    <comment ref="C232" authorId="0">
      <text>
        <r>
          <rPr>
            <sz val="9"/>
            <color indexed="81"/>
            <rFont val="Tahoma"/>
            <family val="2"/>
          </rPr>
          <t>Informar o consumo de óleo da transmissão a cada 1000km</t>
        </r>
      </text>
    </comment>
    <comment ref="D232" authorId="0">
      <text>
        <r>
          <rPr>
            <sz val="9"/>
            <color indexed="81"/>
            <rFont val="Tahoma"/>
            <family val="2"/>
          </rPr>
          <t xml:space="preserve">Informar o preço unitário do litro do óleo da transmissão
</t>
        </r>
      </text>
    </comment>
    <comment ref="C234" authorId="0">
      <text>
        <r>
          <rPr>
            <sz val="9"/>
            <color indexed="81"/>
            <rFont val="Tahoma"/>
            <family val="2"/>
          </rPr>
          <t>Informar o consumo de óleo hidráulico a cada 1000km</t>
        </r>
      </text>
    </comment>
    <comment ref="D234" authorId="0">
      <text>
        <r>
          <rPr>
            <sz val="9"/>
            <color indexed="81"/>
            <rFont val="Tahoma"/>
            <family val="2"/>
          </rPr>
          <t xml:space="preserve">Informar o preço unitário do litro do óleo hidráulico
</t>
        </r>
      </text>
    </comment>
    <comment ref="C236" authorId="0">
      <text>
        <r>
          <rPr>
            <sz val="9"/>
            <color indexed="81"/>
            <rFont val="Tahoma"/>
            <family val="2"/>
          </rPr>
          <t>Informar o consumo de graxa a cada 1000km</t>
        </r>
      </text>
    </comment>
    <comment ref="D236" authorId="0">
      <text>
        <r>
          <rPr>
            <sz val="9"/>
            <color indexed="81"/>
            <rFont val="Tahoma"/>
            <family val="2"/>
          </rPr>
          <t xml:space="preserve">Informar o preço unitário do litro da graxa
</t>
        </r>
      </text>
    </comment>
    <comment ref="D243" authorId="0">
      <text>
        <r>
          <rPr>
            <sz val="9"/>
            <color indexed="81"/>
            <rFont val="Tahoma"/>
            <family val="2"/>
          </rPr>
          <t xml:space="preserve">Informar o custo de manutenção em R$/km rodado
</t>
        </r>
      </text>
    </comment>
    <comment ref="C248" authorId="0">
      <text>
        <r>
          <rPr>
            <sz val="9"/>
            <color indexed="81"/>
            <rFont val="Tahoma"/>
            <family val="2"/>
          </rPr>
          <t>Informar a quantidade de pneus novos de 1 caminhão</t>
        </r>
      </text>
    </comment>
    <comment ref="D248" authorId="0">
      <text>
        <r>
          <rPr>
            <sz val="9"/>
            <color indexed="81"/>
            <rFont val="Tahoma"/>
            <family val="2"/>
          </rPr>
          <t xml:space="preserve">Informar o preço unitário de cada pneu
</t>
        </r>
      </text>
    </comment>
    <comment ref="C249" authorId="0">
      <text>
        <r>
          <rPr>
            <sz val="9"/>
            <color indexed="81"/>
            <rFont val="Tahoma"/>
            <family val="2"/>
          </rPr>
          <t>Informar o número de recapagens por pneu</t>
        </r>
      </text>
    </comment>
    <comment ref="D250" authorId="0">
      <text>
        <r>
          <rPr>
            <sz val="9"/>
            <color indexed="81"/>
            <rFont val="Tahoma"/>
            <family val="2"/>
          </rPr>
          <t xml:space="preserve">Informar o preço unitário de cada recapagem
</t>
        </r>
      </text>
    </comment>
    <comment ref="C251" authorId="0">
      <text>
        <r>
          <rPr>
            <sz val="9"/>
            <color indexed="81"/>
            <rFont val="Tahoma"/>
            <family val="2"/>
          </rPr>
          <t xml:space="preserve">Informar a durabilidade média dos pneus considerando todas as recapagens, em km
</t>
        </r>
      </text>
    </comment>
    <comment ref="C261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1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2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2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3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3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4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4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C265" authorId="0">
      <text>
        <r>
          <rPr>
            <sz val="9"/>
            <color indexed="81"/>
            <rFont val="Tahoma"/>
            <family val="2"/>
          </rPr>
          <t xml:space="preserve">Informar a quantidade estimada por mês. Por exemplo, se a durabilidade estimada é de 6 meses, informar 1/6; se a durabilidade estimada é de 3 meses informar 1/3, etc..
</t>
        </r>
      </text>
    </comment>
    <comment ref="D265" authorId="0">
      <text>
        <r>
          <rPr>
            <sz val="9"/>
            <color indexed="81"/>
            <rFont val="Tahoma"/>
            <family val="2"/>
          </rPr>
          <t>Informar o valor unitário estimado para aquisição de cada material</t>
        </r>
      </text>
    </comment>
    <comment ref="A270" authorId="0">
      <text>
        <r>
          <rPr>
            <b/>
            <sz val="9"/>
            <color indexed="81"/>
            <rFont val="Tahoma"/>
            <family val="2"/>
          </rPr>
          <t>Especificar somente quando for exigido no Projeto Básico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73" authorId="0">
      <text>
        <r>
          <rPr>
            <sz val="9"/>
            <color indexed="81"/>
            <rFont val="Tahoma"/>
            <family val="2"/>
          </rPr>
          <t>Informar o valor total para instalação do equipamento de monitoramento da frota, se houver previsão no Projeto Básico</t>
        </r>
      </text>
    </comment>
    <comment ref="D275" authorId="0">
      <text>
        <r>
          <rPr>
            <sz val="9"/>
            <color indexed="81"/>
            <rFont val="Tahoma"/>
            <family val="2"/>
          </rPr>
          <t>Informar o valor unitário mensal para manutenção dos equipamentos de monitoramento</t>
        </r>
      </text>
    </comment>
    <comment ref="C286" authorId="0">
      <text>
        <r>
          <rPr>
            <sz val="9"/>
            <color indexed="81"/>
            <rFont val="Tahoma"/>
            <family val="2"/>
          </rPr>
          <t>Preencher a aba 4.BDI</t>
        </r>
      </text>
    </comment>
  </commentList>
</comments>
</file>

<file path=xl/comments2.xml><?xml version="1.0" encoding="utf-8"?>
<comments xmlns="http://schemas.openxmlformats.org/spreadsheetml/2006/main">
  <authors>
    <author>Clauber Bridi</author>
  </authors>
  <commentList>
    <comment ref="C12" authorId="0">
      <text>
        <r>
          <rPr>
            <b/>
            <sz val="9"/>
            <color indexed="81"/>
            <rFont val="Tahoma"/>
            <family val="2"/>
          </rPr>
          <t>Informar o % de Administração Central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3" authorId="0">
      <text>
        <r>
          <rPr>
            <b/>
            <sz val="9"/>
            <color indexed="81"/>
            <rFont val="Tahoma"/>
            <family val="2"/>
          </rPr>
          <t>Informar o % de Seguros, Riscos e Garantia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4" authorId="0">
      <text>
        <r>
          <rPr>
            <b/>
            <sz val="9"/>
            <color indexed="81"/>
            <rFont val="Tahoma"/>
            <family val="2"/>
          </rPr>
          <t>Informar o % de Lucro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5" authorId="0">
      <text>
        <r>
          <rPr>
            <b/>
            <sz val="9"/>
            <color indexed="81"/>
            <rFont val="Tahoma"/>
            <family val="2"/>
          </rPr>
          <t>Informar o valor anual da taxa financeira, em percentual. Admite-se utilizar a SELIC</t>
        </r>
      </text>
    </comment>
    <comment ref="C16" authorId="0">
      <text>
        <r>
          <rPr>
            <b/>
            <sz val="9"/>
            <color indexed="81"/>
            <rFont val="Tahoma"/>
            <family val="2"/>
          </rPr>
          <t>Informar o percentual de ISS, de acordo com a legislação tributária do município onde serão prestados os serviços. De 2% até o limite de 5%.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16" authorId="0">
      <text>
        <r>
          <rPr>
            <b/>
            <sz val="9"/>
            <color indexed="81"/>
            <rFont val="Tahoma"/>
            <family val="2"/>
          </rPr>
          <t>Informar a média de dias úteis entre data de pagamento prevista no contrato e a data final do período de adimplemento da parcela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17" authorId="0">
      <text>
        <r>
          <rPr>
            <b/>
            <sz val="9"/>
            <color indexed="81"/>
            <rFont val="Tahoma"/>
            <family val="2"/>
          </rPr>
          <t xml:space="preserve">Informar o valor estimado de PIS/COFINS. </t>
        </r>
        <r>
          <rPr>
            <sz val="9"/>
            <color indexed="81"/>
            <rFont val="Tahoma"/>
            <family val="2"/>
          </rPr>
          <t xml:space="preserve">
1. Adotar 0,65% PIS + 3% COFINS quando o valor anual estimado do contrato for inferior ao limite para tributação pelo regime de incidência não-cumulativa (lucro presumido);
2. Adotar 1,65% PIS + 7,6% COFINS quando o valor anual estimado do contrato for superior ao limite para tributação pelo regime de incidência não-cumulativa (lucro real);</t>
        </r>
      </text>
    </comment>
  </commentList>
</comments>
</file>

<file path=xl/comments3.xml><?xml version="1.0" encoding="utf-8"?>
<comments xmlns="http://schemas.openxmlformats.org/spreadsheetml/2006/main">
  <authors>
    <author>cbridi</author>
    <author>Clauber Bridi</author>
    <author>Omar</author>
  </authors>
  <commentList>
    <comment ref="C12" authorId="0">
      <text>
        <r>
          <rPr>
            <sz val="8"/>
            <color indexed="81"/>
            <rFont val="Tahoma"/>
            <family val="2"/>
          </rPr>
          <t>Informar a população do município a ser atendida</t>
        </r>
      </text>
    </comment>
    <comment ref="C13" authorId="1">
      <text>
        <r>
          <rPr>
            <b/>
            <sz val="9"/>
            <color indexed="81"/>
            <rFont val="Tahoma"/>
            <family val="2"/>
          </rPr>
          <t>Caso o município possua informações de pesagem, ajustar com o valor da geração média per capita realizada nos últimos 12 meses</t>
        </r>
      </text>
    </comment>
    <comment ref="C14" authorId="2">
      <text>
        <r>
          <rPr>
            <sz val="9"/>
            <color indexed="81"/>
            <rFont val="Tahoma"/>
            <family val="2"/>
          </rPr>
          <t>retorna a geração diária a ser recolhida</t>
        </r>
      </text>
    </comment>
    <comment ref="C16" authorId="0">
      <text>
        <r>
          <rPr>
            <b/>
            <sz val="8"/>
            <color indexed="81"/>
            <rFont val="Tahoma"/>
            <charset val="1"/>
          </rPr>
          <t>Informe o número de dias de coleta por semana</t>
        </r>
      </text>
    </comment>
    <comment ref="C19" authorId="0">
      <text>
        <r>
          <rPr>
            <sz val="8"/>
            <color indexed="81"/>
            <rFont val="Tahoma"/>
            <family val="2"/>
          </rPr>
          <t>Informar 1 para caminhão toco; Informar 2 para caminhão truck</t>
        </r>
        <r>
          <rPr>
            <b/>
            <sz val="8"/>
            <color indexed="81"/>
            <rFont val="Tahoma"/>
            <family val="2"/>
          </rPr>
          <t xml:space="preserve"> </t>
        </r>
      </text>
    </comment>
    <comment ref="C20" authorId="0">
      <text>
        <r>
          <rPr>
            <sz val="8"/>
            <color indexed="81"/>
            <rFont val="Tahoma"/>
            <family val="2"/>
          </rPr>
          <t>Informar a capacidade do compactador em m³</t>
        </r>
      </text>
    </comment>
    <comment ref="C23" authorId="1">
      <text>
        <r>
          <rPr>
            <sz val="8"/>
            <color indexed="81"/>
            <rFont val="Tahoma"/>
            <family val="2"/>
          </rPr>
          <t xml:space="preserve">Informar o número de percursos de coleta (cargas) que cada caminhão realiza por dia, considerando todos os turnos de trabalho. </t>
        </r>
      </text>
    </comment>
  </commentList>
</comments>
</file>

<file path=xl/sharedStrings.xml><?xml version="1.0" encoding="utf-8"?>
<sst xmlns="http://schemas.openxmlformats.org/spreadsheetml/2006/main" count="583" uniqueCount="306">
  <si>
    <t>hora</t>
  </si>
  <si>
    <t>Adicional de Insalubridade</t>
  </si>
  <si>
    <t>%</t>
  </si>
  <si>
    <t>Soma</t>
  </si>
  <si>
    <t>Encargos Sociais</t>
  </si>
  <si>
    <t>Total do Efetivo</t>
  </si>
  <si>
    <t>homem</t>
  </si>
  <si>
    <t>Adicional Noturno</t>
  </si>
  <si>
    <t>mês</t>
  </si>
  <si>
    <t>vale</t>
  </si>
  <si>
    <t>unidade</t>
  </si>
  <si>
    <t>Colete reflexivo</t>
  </si>
  <si>
    <t>IPVA</t>
  </si>
  <si>
    <t>Seguro contra terceiros</t>
  </si>
  <si>
    <t>Impostos e seguros mensais</t>
  </si>
  <si>
    <t>Custo de óleo diesel / km rodado</t>
  </si>
  <si>
    <t>km/l</t>
  </si>
  <si>
    <t>Custo mensal com óleo diesel</t>
  </si>
  <si>
    <t>km</t>
  </si>
  <si>
    <t>l/1.000 km</t>
  </si>
  <si>
    <t>Custo mensal com óleo do motor</t>
  </si>
  <si>
    <t>Custo mensal com óleo da transmissão</t>
  </si>
  <si>
    <t>Custo mensal com óleo hidráulico</t>
  </si>
  <si>
    <t>Custo de graxa /1.000 km rodados</t>
  </si>
  <si>
    <t>kg/1.000 km</t>
  </si>
  <si>
    <t>Custo mensal com graxa</t>
  </si>
  <si>
    <t>km/jogo</t>
  </si>
  <si>
    <t>Pá de Concha</t>
  </si>
  <si>
    <t>Vassoura</t>
  </si>
  <si>
    <t>Calça</t>
  </si>
  <si>
    <t>Camiseta</t>
  </si>
  <si>
    <t>Boné</t>
  </si>
  <si>
    <t>Luva de proteção</t>
  </si>
  <si>
    <t>R$</t>
  </si>
  <si>
    <t>Horas Extras (100%)</t>
  </si>
  <si>
    <t>Horas Extras (50%)</t>
  </si>
  <si>
    <t>Benefícios e despesas indiretas</t>
  </si>
  <si>
    <t>Custo mensal com manutenção</t>
  </si>
  <si>
    <t>Custo (R$/mês)</t>
  </si>
  <si>
    <t>Mão-de-obra</t>
  </si>
  <si>
    <t>Quantidade</t>
  </si>
  <si>
    <t>INSS</t>
  </si>
  <si>
    <t>FGTS</t>
  </si>
  <si>
    <t>Planilha de Composição de Custos</t>
  </si>
  <si>
    <t>Motorista</t>
  </si>
  <si>
    <t>2. Uniformes e Equipamentos de Proteção Individual</t>
  </si>
  <si>
    <t>3.1.1. Depreciação</t>
  </si>
  <si>
    <t>1. Mão-de-obra</t>
  </si>
  <si>
    <t>par</t>
  </si>
  <si>
    <t>frasco 120g</t>
  </si>
  <si>
    <t>Depreciação mensal veículos coletores</t>
  </si>
  <si>
    <t>3.1.3. Impostos e Seguros</t>
  </si>
  <si>
    <t>3.1.4. Consumos</t>
  </si>
  <si>
    <t>3.1.5. Manutenção</t>
  </si>
  <si>
    <t>3. Veículos e Equipamentos</t>
  </si>
  <si>
    <t>Custo mensal com pneus</t>
  </si>
  <si>
    <t>Veículos e Equipamentos</t>
  </si>
  <si>
    <t>Publicidade (adesivos equipamentos)</t>
  </si>
  <si>
    <t>cj</t>
  </si>
  <si>
    <t>Total de mão-de-obra (postos de trabalho)</t>
  </si>
  <si>
    <t>Publicidade (adesivos veículos)</t>
  </si>
  <si>
    <t>Custo mensal com implantação</t>
  </si>
  <si>
    <t>3.1.6. Pneus</t>
  </si>
  <si>
    <t>Protetor solar FPS 30</t>
  </si>
  <si>
    <t>Discriminação</t>
  </si>
  <si>
    <t>Unidade</t>
  </si>
  <si>
    <t>Subtotal</t>
  </si>
  <si>
    <r>
      <t xml:space="preserve">Total </t>
    </r>
    <r>
      <rPr>
        <b/>
        <u/>
        <sz val="9"/>
        <rFont val="Arial"/>
        <family val="2"/>
      </rPr>
      <t>(R$)</t>
    </r>
  </si>
  <si>
    <t>Jaqueta com reflexivo (NBR 15.292)</t>
  </si>
  <si>
    <t>Capa de chuva amarela com reflexivo</t>
  </si>
  <si>
    <t>Botina de segurança c/ palmilha aço</t>
  </si>
  <si>
    <t>Custo de recapagem</t>
  </si>
  <si>
    <t>Recipiente térmico para água (5L)</t>
  </si>
  <si>
    <t>Total por Coletor</t>
  </si>
  <si>
    <t>Coletor</t>
  </si>
  <si>
    <t>4. Ferramentas e Materiais de Consumo</t>
  </si>
  <si>
    <t>5. Monitoramento da Frota</t>
  </si>
  <si>
    <t>Administração Central</t>
  </si>
  <si>
    <t>AC</t>
  </si>
  <si>
    <t>Seguros/Riscos/Garantias</t>
  </si>
  <si>
    <t>SRG</t>
  </si>
  <si>
    <t>Lucro</t>
  </si>
  <si>
    <t>L</t>
  </si>
  <si>
    <t>Despesas Financeiras</t>
  </si>
  <si>
    <t>DF</t>
  </si>
  <si>
    <t>Tributos - ISS</t>
  </si>
  <si>
    <t>T</t>
  </si>
  <si>
    <t>Tributos - PIS/COFINS</t>
  </si>
  <si>
    <t>Fórmula para o cálculo do BDI:</t>
  </si>
  <si>
    <t>{[(1+AC+SRG) x (1+L) x (1+DF)] / (1-T)} -1</t>
  </si>
  <si>
    <t>Resultado do cálculo do BDI:</t>
  </si>
  <si>
    <t>6. Benefícios e Despesas Indiretas - BDI</t>
  </si>
  <si>
    <t>1.2. Coletor Turno Noite</t>
  </si>
  <si>
    <t>Vale Transporte</t>
  </si>
  <si>
    <t>Dias Trabalhados por mês</t>
  </si>
  <si>
    <t>dia</t>
  </si>
  <si>
    <t>Custo Mensal com Mão-de-obra (R$/mês)</t>
  </si>
  <si>
    <t>Meia de algodão com cano alto</t>
  </si>
  <si>
    <t>Custo do jogo de pneus xxx/xx Rxx</t>
  </si>
  <si>
    <r>
      <t xml:space="preserve">Custo jg. compl. + </t>
    </r>
    <r>
      <rPr>
        <sz val="10"/>
        <color indexed="10"/>
        <rFont val="Arial"/>
        <family val="2"/>
      </rPr>
      <t>X</t>
    </r>
    <r>
      <rPr>
        <sz val="10"/>
        <rFont val="Arial"/>
        <family val="2"/>
      </rPr>
      <t xml:space="preserve"> recap./ km rodado</t>
    </r>
  </si>
  <si>
    <t>Quantitativos</t>
  </si>
  <si>
    <t>horas trabalhadas</t>
  </si>
  <si>
    <t>Horas Extras Noturnas (100%)</t>
  </si>
  <si>
    <t>1.1. Coletor Turno Dia</t>
  </si>
  <si>
    <t>1.3. Motorista Turno do Dia</t>
  </si>
  <si>
    <t>1.4. Motorista Turno Noite</t>
  </si>
  <si>
    <t>hora contabilizada</t>
  </si>
  <si>
    <t>1.5. Vale Transporte</t>
  </si>
  <si>
    <t>Vida útil do chassis</t>
  </si>
  <si>
    <t>anos</t>
  </si>
  <si>
    <t>Depreciação do compactador</t>
  </si>
  <si>
    <t>Depreciação do chassis</t>
  </si>
  <si>
    <t>Custo de aquisição do chassis</t>
  </si>
  <si>
    <t>Depreciação mensal do compactador</t>
  </si>
  <si>
    <t>i = taxa de juros do mercado (sugere-se adotar a taxa SELIC)</t>
  </si>
  <si>
    <t>n = vida útil do bem em anos</t>
  </si>
  <si>
    <t>Custo do chassis</t>
  </si>
  <si>
    <t>Custo do compactador</t>
  </si>
  <si>
    <t>3.1.2. Remuneração do Capital</t>
  </si>
  <si>
    <t>Im = investimento médio</t>
  </si>
  <si>
    <t>Remuneração mensal de capital do compactador</t>
  </si>
  <si>
    <t>Investimento médio total do chassis</t>
  </si>
  <si>
    <t>Remuneração mensal de capital do chassis</t>
  </si>
  <si>
    <t>Investimento médio total do compactador</t>
  </si>
  <si>
    <t>Custo de manutenção dos caminhões</t>
  </si>
  <si>
    <t>Quilometragem mensal</t>
  </si>
  <si>
    <t>R$/km rodado</t>
  </si>
  <si>
    <t>Número de recapagens por pneu</t>
  </si>
  <si>
    <t>1.6. Vale-refeição (diário)</t>
  </si>
  <si>
    <t>1.7. Auxílio Alimentação (mensal)</t>
  </si>
  <si>
    <t>R$ mensal</t>
  </si>
  <si>
    <t>Admissões</t>
  </si>
  <si>
    <t>Desligamentos</t>
  </si>
  <si>
    <t>Dispensados com justa causa</t>
  </si>
  <si>
    <t>Dispensados sem justa causa</t>
  </si>
  <si>
    <t>Espontâneos</t>
  </si>
  <si>
    <t>Fim de contrato por prazo determinado</t>
  </si>
  <si>
    <t>Término de contrato</t>
  </si>
  <si>
    <t>Aposentados</t>
  </si>
  <si>
    <t>Mortos</t>
  </si>
  <si>
    <t>Transferência de saída</t>
  </si>
  <si>
    <t xml:space="preserve"> </t>
  </si>
  <si>
    <t>Indicadores</t>
  </si>
  <si>
    <t>Dias ano</t>
  </si>
  <si>
    <t>Estoque Médio</t>
  </si>
  <si>
    <t>Multa FGTS</t>
  </si>
  <si>
    <t>Dias de Aviso prévio</t>
  </si>
  <si>
    <t>Código</t>
  </si>
  <si>
    <t>Descrição</t>
  </si>
  <si>
    <t>Valor</t>
  </si>
  <si>
    <t>A1</t>
  </si>
  <si>
    <t>A2</t>
  </si>
  <si>
    <t>SESI</t>
  </si>
  <si>
    <t>A3</t>
  </si>
  <si>
    <t>SENAI</t>
  </si>
  <si>
    <t>A4</t>
  </si>
  <si>
    <t>INCRA</t>
  </si>
  <si>
    <t>A5</t>
  </si>
  <si>
    <t>SEBRAE</t>
  </si>
  <si>
    <t>A6</t>
  </si>
  <si>
    <t>Salário educação</t>
  </si>
  <si>
    <t>A7</t>
  </si>
  <si>
    <t>Seguro contra acidentes de trabalho</t>
  </si>
  <si>
    <t>A8</t>
  </si>
  <si>
    <t>A</t>
  </si>
  <si>
    <t>SOMA GRUPO A</t>
  </si>
  <si>
    <t>B1</t>
  </si>
  <si>
    <t>Férias gozadas</t>
  </si>
  <si>
    <t>B2</t>
  </si>
  <si>
    <t>13º salário</t>
  </si>
  <si>
    <t>B4</t>
  </si>
  <si>
    <t>Licença Paternidade</t>
  </si>
  <si>
    <t>B5</t>
  </si>
  <si>
    <t>Faltas justificadas</t>
  </si>
  <si>
    <t>B6</t>
  </si>
  <si>
    <t>Auxilio acidente de trabalho</t>
  </si>
  <si>
    <t>Auxilio doença</t>
  </si>
  <si>
    <t>B</t>
  </si>
  <si>
    <t>SOMA GRUPO B</t>
  </si>
  <si>
    <t>C1</t>
  </si>
  <si>
    <t>Aviso prévio indenizado</t>
  </si>
  <si>
    <t>C3</t>
  </si>
  <si>
    <t xml:space="preserve">Férias indenizadas </t>
  </si>
  <si>
    <t>C4</t>
  </si>
  <si>
    <t>Férias indenizadas s/ aviso previo inden.</t>
  </si>
  <si>
    <t>C5</t>
  </si>
  <si>
    <t>Depósito rescisão sem justa causa</t>
  </si>
  <si>
    <t>Indenização adicional</t>
  </si>
  <si>
    <t>C</t>
  </si>
  <si>
    <t>SOMA GRUPO C</t>
  </si>
  <si>
    <t>D1</t>
  </si>
  <si>
    <t>Reincidência de Grupo A sobre Grupo B</t>
  </si>
  <si>
    <t>D2</t>
  </si>
  <si>
    <t>D</t>
  </si>
  <si>
    <t>SOMA GRUPO D</t>
  </si>
  <si>
    <t>SOMA (A+B+C+D)</t>
  </si>
  <si>
    <t>1° Quartil</t>
  </si>
  <si>
    <t>Médio</t>
  </si>
  <si>
    <t>3° Quartil</t>
  </si>
  <si>
    <t>DU</t>
  </si>
  <si>
    <t>Licenciamento e Seguro obrigatório</t>
  </si>
  <si>
    <t>Fator de utilização</t>
  </si>
  <si>
    <t>Fator de utilização (FU)</t>
  </si>
  <si>
    <t>2.1. Uniformes e EPIs para Coletor</t>
  </si>
  <si>
    <t>Higienização de uniformes e EPIs</t>
  </si>
  <si>
    <t>2.2. Uniformes e EPIs para demais categorias</t>
  </si>
  <si>
    <t>Custo Mensal com Uniformes e EPIs (R$/mês)</t>
  </si>
  <si>
    <t>Descrição do Item</t>
  </si>
  <si>
    <t>Orçamento Sintético</t>
  </si>
  <si>
    <t>Orientações para preenchimento:</t>
  </si>
  <si>
    <t>Rio Grande do Sul  - Coleta de Resíduos Não-Perigosos - CNAE 38114</t>
  </si>
  <si>
    <t>Idade do veículo (ano)</t>
  </si>
  <si>
    <t>Idade do veículo</t>
  </si>
  <si>
    <t>Valor do veículo proposto (V0)</t>
  </si>
  <si>
    <t>Valor do compactador proposto (V0)</t>
  </si>
  <si>
    <t>Taxa de juros anual nominal</t>
  </si>
  <si>
    <t>Piso da categoria</t>
  </si>
  <si>
    <t>Base de cálculo da Insalubridade</t>
  </si>
  <si>
    <t>Horas Extras Noturnas (50%)</t>
  </si>
  <si>
    <t>Excluir esta linha caso a contratação não tenha previsão de horas extras explícita no edital</t>
  </si>
  <si>
    <t>Descanso Semanal Remunerado (DSR) - hora extra</t>
  </si>
  <si>
    <t>C2</t>
  </si>
  <si>
    <t>B3</t>
  </si>
  <si>
    <t xml:space="preserve">1. Coleta de Resíduos Sólidos </t>
  </si>
  <si>
    <t>Custo Mensal com Monitoramento da Frota (R$/mês)</t>
  </si>
  <si>
    <t>Implantação dos equipamentos de monitoramento</t>
  </si>
  <si>
    <t>Manutenção dos equipamentos de monitoramento</t>
  </si>
  <si>
    <t>Custo Mensal com Veículos e Equipamentos (R$/mês)</t>
  </si>
  <si>
    <t>Custo Mensal com Ferramentas e Materiais de Consumo (R$/mês)</t>
  </si>
  <si>
    <t>CUSTO TOTAL MENSAL COM DESPESAS OPERACIONAIS (R$/mês)</t>
  </si>
  <si>
    <t>PREÇO MENSAL TOTAL (R$/mês)</t>
  </si>
  <si>
    <t>3. CAGED</t>
  </si>
  <si>
    <t>4. Composição do BDI - Benefícios e Despesas Indiretas</t>
  </si>
  <si>
    <t xml:space="preserve">2. Composição dos Encargos Sociais </t>
  </si>
  <si>
    <t>5. Depreciação Referencial TCE/RS (%)</t>
  </si>
  <si>
    <r>
      <t>J</t>
    </r>
    <r>
      <rPr>
        <vertAlign val="subscript"/>
        <sz val="12"/>
        <color indexed="8"/>
        <rFont val="Arial"/>
        <family val="2"/>
      </rPr>
      <t>m</t>
    </r>
    <r>
      <rPr>
        <sz val="12"/>
        <color indexed="8"/>
        <rFont val="Arial"/>
        <family val="2"/>
      </rPr>
      <t xml:space="preserve"> = remuneração de capital mensal</t>
    </r>
  </si>
  <si>
    <r>
      <t>V</t>
    </r>
    <r>
      <rPr>
        <vertAlign val="subscript"/>
        <sz val="12"/>
        <color indexed="8"/>
        <rFont val="Arial"/>
        <family val="2"/>
      </rPr>
      <t>0</t>
    </r>
    <r>
      <rPr>
        <sz val="12"/>
        <color indexed="8"/>
        <rFont val="Arial"/>
        <family val="2"/>
      </rPr>
      <t xml:space="preserve"> = valor inicial do bem</t>
    </r>
  </si>
  <si>
    <r>
      <t>V</t>
    </r>
    <r>
      <rPr>
        <vertAlign val="subscript"/>
        <sz val="12"/>
        <color indexed="8"/>
        <rFont val="Arial"/>
        <family val="2"/>
      </rPr>
      <t>r</t>
    </r>
    <r>
      <rPr>
        <sz val="12"/>
        <color indexed="8"/>
        <rFont val="Arial"/>
        <family val="2"/>
      </rPr>
      <t xml:space="preserve"> = valor residual do bem</t>
    </r>
  </si>
  <si>
    <t>6. Remuneração de Capital</t>
  </si>
  <si>
    <t>Custo unitário</t>
  </si>
  <si>
    <t>Custo de óleo do motor /1.000 km rodados</t>
  </si>
  <si>
    <t>Custo de óleo da transmissão /1.000 km</t>
  </si>
  <si>
    <t>Custo de óleo hidráulico / 1.000 km</t>
  </si>
  <si>
    <t>PREÇO TOTAL MENSAL COM A COLETA</t>
  </si>
  <si>
    <t>CUSTO MENSAL COM BDI (R$/mês)</t>
  </si>
  <si>
    <t>CÁLCULO DAS VERBAS INDENIZATÓRIAS DOS EMPREGADOS NO SETOR DE COLETA DE RSU</t>
  </si>
  <si>
    <t>1/3 de férias (dias)</t>
  </si>
  <si>
    <t>Férias (dias)</t>
  </si>
  <si>
    <t>13º Salário (dias)</t>
  </si>
  <si>
    <t>Referência estudo TCE</t>
  </si>
  <si>
    <t>Rotatividade temporal (meses)</t>
  </si>
  <si>
    <t>Fórmula de cálculo da remuneração de capital:</t>
  </si>
  <si>
    <t>Excluir esta linha caso a contratação não tenha previsão de horas extras 100% explícita no edital</t>
  </si>
  <si>
    <t>Excluir esta linha caso a contratação não tenha previsão de horas extras noturnas 100% explícita no edital</t>
  </si>
  <si>
    <t>Excluir esta linha caso a contratação não tenha previsão de horas extras 50% explícita no edital</t>
  </si>
  <si>
    <t>Excluir esta linha caso a contratação não tenha previsão de horas extras noturnas 50% explícita no edital</t>
  </si>
  <si>
    <t>Total por Motorista</t>
  </si>
  <si>
    <t>Durabilidade (meses)</t>
  </si>
  <si>
    <t>Custo com consumos/km rodado</t>
  </si>
  <si>
    <t>Consumo</t>
  </si>
  <si>
    <t>Total por veículo</t>
  </si>
  <si>
    <t>Total da frota</t>
  </si>
  <si>
    <t>1. Esta planilha é somente um modelo de cálculo expedito e deve ser ajustada conforme cada caso concreto.</t>
  </si>
  <si>
    <t>Unid</t>
  </si>
  <si>
    <t>hab</t>
  </si>
  <si>
    <t>ton</t>
  </si>
  <si>
    <t>Densidade RSU compactado</t>
  </si>
  <si>
    <t>Kg/m³</t>
  </si>
  <si>
    <t>m³</t>
  </si>
  <si>
    <t>Kg/hab.dia</t>
  </si>
  <si>
    <t>ton/dia</t>
  </si>
  <si>
    <t>População (H)</t>
  </si>
  <si>
    <t>Geração per capita (G)</t>
  </si>
  <si>
    <t>Geração total diária (Qd)</t>
  </si>
  <si>
    <t>Quantitativo diário de coleta (Qc)</t>
  </si>
  <si>
    <t>Número de dias de coleta por semana (Dc)</t>
  </si>
  <si>
    <t>Capacidade nominal de carga (Cc)</t>
  </si>
  <si>
    <t>Número de Cargas por dia (Nc)</t>
  </si>
  <si>
    <t>Número de veículos da Frota (F)</t>
  </si>
  <si>
    <t>Geração Mensal</t>
  </si>
  <si>
    <t>Tipo de Veículo (1 = toco, 2 = truck)</t>
  </si>
  <si>
    <t>Capacidade do Compactador</t>
  </si>
  <si>
    <t>7. Dimensionamento da frota</t>
  </si>
  <si>
    <t>Indicador</t>
  </si>
  <si>
    <t>Número total de percursos de coleta por veículo, por dia (Np)</t>
  </si>
  <si>
    <t>i</t>
  </si>
  <si>
    <t>3. Preencher somente células em amarelo</t>
  </si>
  <si>
    <t>Depreciação Média</t>
  </si>
  <si>
    <t>2. Dimensionar separadamente setores atendidos por veículos de capacidade de carga diferentes.</t>
  </si>
  <si>
    <t>Reincidência de FGTS sobre aviso prévio indenizado</t>
  </si>
  <si>
    <t>O orçamento deve ser realizado por responsável técnico habilitado e é de responsabilidade do seu autor.</t>
  </si>
  <si>
    <t>Piso da categoria (2)</t>
  </si>
  <si>
    <t>Salário mínimo nacional (1)</t>
  </si>
  <si>
    <t>O TCE/RS não se responsabiliza pelo uso incorreto desta planilha.</t>
  </si>
  <si>
    <t>% Demitidos s/ Justa Causa em relação ao Estoque Médio</t>
  </si>
  <si>
    <t>Taxa de Rotatividade</t>
  </si>
  <si>
    <t>Acordo</t>
  </si>
  <si>
    <t>Variação Emprego Absoluta de 01-01-2019 a 31-12-2019</t>
  </si>
  <si>
    <t>Estoque recuperado início do Período 01-01-2019</t>
  </si>
  <si>
    <t>Estoque recuperado final do Período 31-12-2019</t>
  </si>
  <si>
    <t>Tendo em vista que o CAGED foi descontinuado em janeiro de 2020, esta planilha foi atualizada até 31/12/2019.</t>
  </si>
  <si>
    <r>
      <t xml:space="preserve">3.1. Veículo Coletor </t>
    </r>
    <r>
      <rPr>
        <sz val="10"/>
        <rFont val="Arial"/>
        <family val="2"/>
      </rPr>
      <t xml:space="preserve"> </t>
    </r>
  </si>
  <si>
    <t>Custo de aquisição da gaiola</t>
  </si>
  <si>
    <t>Vida útil da gaiola</t>
  </si>
  <si>
    <t>Idade da gaiola</t>
  </si>
  <si>
    <t>COLETA SELETIVA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</si>
</sst>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-;\-* #,##0.00_-;_-* &quot;-&quot;??_-;_-@_-"/>
    <numFmt numFmtId="165" formatCode="&quot;R$ &quot;#,##0.00_);\(&quot;R$ &quot;#,##0.00\)"/>
    <numFmt numFmtId="166" formatCode="_(* #,##0.00_);_(* \(#,##0.00\);_(* &quot;-&quot;??_);_(@_)"/>
    <numFmt numFmtId="167" formatCode="_(* #,##0_);_(* \(#,##0\);_(* &quot;-&quot;??_);_(@_)"/>
    <numFmt numFmtId="168" formatCode="_(* #,##0.000_);_(* \(#,##0.000\);_(* &quot;-&quot;??_);_(@_)"/>
    <numFmt numFmtId="169" formatCode="&quot;R$ &quot;#,##0.00"/>
    <numFmt numFmtId="170" formatCode="0.0000"/>
    <numFmt numFmtId="171" formatCode="_-* #,##0.000_-;\-* #,##0.000_-;_-* &quot;-&quot;??_-;_-@_-"/>
    <numFmt numFmtId="172" formatCode="_-* #,##0.00_-;\-* #,##0.00_-;_-* &quot;-&quot;?_-;_-@_-"/>
    <numFmt numFmtId="173" formatCode="_-* #,##0_-;\-* #,##0_-;_-* &quot;-&quot;?_-;_-@_-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8"/>
      <color indexed="81"/>
      <name val="Tahoma"/>
      <charset val="1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2"/>
      <color rgb="FFFF0000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347">
    <xf numFmtId="0" fontId="0" fillId="0" borderId="0" xfId="0"/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166" fontId="0" fillId="0" borderId="0" xfId="3" applyFont="1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166" fontId="6" fillId="0" borderId="0" xfId="3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6" fontId="6" fillId="0" borderId="2" xfId="3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166" fontId="6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66" fontId="6" fillId="0" borderId="0" xfId="3" applyFont="1" applyAlignment="1">
      <alignment horizontal="center" vertical="center"/>
    </xf>
    <xf numFmtId="166" fontId="3" fillId="2" borderId="4" xfId="3" applyFont="1" applyFill="1" applyBorder="1" applyAlignment="1">
      <alignment horizontal="center" vertical="center"/>
    </xf>
    <xf numFmtId="166" fontId="3" fillId="2" borderId="4" xfId="3" applyFont="1" applyFill="1" applyBorder="1" applyAlignment="1">
      <alignment vertical="center"/>
    </xf>
    <xf numFmtId="166" fontId="3" fillId="0" borderId="0" xfId="3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6" fontId="3" fillId="0" borderId="6" xfId="3" applyFont="1" applyBorder="1" applyAlignment="1">
      <alignment vertical="center"/>
    </xf>
    <xf numFmtId="166" fontId="3" fillId="0" borderId="7" xfId="3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66" fontId="6" fillId="0" borderId="6" xfId="3" applyFont="1" applyBorder="1" applyAlignment="1">
      <alignment vertical="center"/>
    </xf>
    <xf numFmtId="166" fontId="6" fillId="0" borderId="7" xfId="3" applyFont="1" applyBorder="1" applyAlignment="1">
      <alignment vertical="center"/>
    </xf>
    <xf numFmtId="166" fontId="3" fillId="0" borderId="0" xfId="3" applyFont="1" applyBorder="1" applyAlignment="1">
      <alignment horizontal="center" vertical="center"/>
    </xf>
    <xf numFmtId="3" fontId="6" fillId="0" borderId="0" xfId="0" applyNumberFormat="1" applyFont="1" applyAlignment="1">
      <alignment vertical="center"/>
    </xf>
    <xf numFmtId="166" fontId="3" fillId="0" borderId="0" xfId="3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66" fontId="3" fillId="0" borderId="0" xfId="3" applyFont="1" applyBorder="1" applyAlignment="1">
      <alignment vertical="center"/>
    </xf>
    <xf numFmtId="166" fontId="5" fillId="0" borderId="0" xfId="3" applyFont="1" applyAlignment="1">
      <alignment vertical="center"/>
    </xf>
    <xf numFmtId="167" fontId="6" fillId="0" borderId="1" xfId="3" applyNumberFormat="1" applyFont="1" applyBorder="1" applyAlignment="1">
      <alignment vertical="center"/>
    </xf>
    <xf numFmtId="166" fontId="6" fillId="0" borderId="0" xfId="3" applyFont="1"/>
    <xf numFmtId="166" fontId="4" fillId="0" borderId="0" xfId="3" applyFont="1" applyAlignment="1">
      <alignment vertical="center"/>
    </xf>
    <xf numFmtId="166" fontId="0" fillId="0" borderId="9" xfId="3" applyFont="1" applyBorder="1" applyAlignment="1">
      <alignment vertical="center"/>
    </xf>
    <xf numFmtId="166" fontId="3" fillId="0" borderId="10" xfId="3" applyFont="1" applyBorder="1" applyAlignment="1">
      <alignment horizontal="center" vertical="center"/>
    </xf>
    <xf numFmtId="166" fontId="3" fillId="0" borderId="5" xfId="3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centerContinuous" vertical="center"/>
    </xf>
    <xf numFmtId="166" fontId="3" fillId="0" borderId="0" xfId="3" applyFont="1" applyAlignment="1">
      <alignment vertical="center"/>
    </xf>
    <xf numFmtId="166" fontId="0" fillId="0" borderId="8" xfId="0" applyNumberFormat="1" applyBorder="1" applyAlignment="1">
      <alignment vertical="center"/>
    </xf>
    <xf numFmtId="4" fontId="0" fillId="0" borderId="8" xfId="0" applyNumberFormat="1" applyBorder="1" applyAlignment="1">
      <alignment horizontal="centerContinuous" vertical="center"/>
    </xf>
    <xf numFmtId="166" fontId="0" fillId="0" borderId="8" xfId="3" applyFont="1" applyBorder="1" applyAlignment="1">
      <alignment vertical="center"/>
    </xf>
    <xf numFmtId="166" fontId="3" fillId="0" borderId="11" xfId="3" applyFont="1" applyBorder="1" applyAlignment="1">
      <alignment horizontal="right" vertical="center"/>
    </xf>
    <xf numFmtId="166" fontId="0" fillId="0" borderId="12" xfId="3" applyFont="1" applyBorder="1" applyAlignment="1">
      <alignment vertical="center"/>
    </xf>
    <xf numFmtId="166" fontId="6" fillId="0" borderId="1" xfId="3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166" fontId="6" fillId="0" borderId="0" xfId="3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166" fontId="4" fillId="0" borderId="0" xfId="3" applyFont="1" applyBorder="1" applyAlignment="1">
      <alignment vertical="center"/>
    </xf>
    <xf numFmtId="10" fontId="0" fillId="0" borderId="13" xfId="2" applyNumberFormat="1" applyFont="1" applyBorder="1" applyAlignment="1">
      <alignment vertical="center"/>
    </xf>
    <xf numFmtId="166" fontId="6" fillId="0" borderId="0" xfId="3" applyFont="1" applyBorder="1" applyAlignment="1">
      <alignment vertical="center"/>
    </xf>
    <xf numFmtId="0" fontId="13" fillId="2" borderId="14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166" fontId="13" fillId="2" borderId="15" xfId="3" applyFont="1" applyFill="1" applyBorder="1" applyAlignment="1">
      <alignment horizontal="center" vertical="center"/>
    </xf>
    <xf numFmtId="166" fontId="13" fillId="2" borderId="16" xfId="3" applyFont="1" applyFill="1" applyBorder="1" applyAlignment="1">
      <alignment horizontal="center" vertical="center"/>
    </xf>
    <xf numFmtId="166" fontId="3" fillId="0" borderId="17" xfId="3" applyFont="1" applyBorder="1" applyAlignment="1">
      <alignment horizontal="center" vertical="center"/>
    </xf>
    <xf numFmtId="166" fontId="1" fillId="0" borderId="12" xfId="3" applyFont="1" applyBorder="1" applyAlignment="1">
      <alignment horizontal="left" vertical="center"/>
    </xf>
    <xf numFmtId="166" fontId="6" fillId="0" borderId="8" xfId="3" applyFont="1" applyBorder="1" applyAlignment="1">
      <alignment vertical="center"/>
    </xf>
    <xf numFmtId="166" fontId="6" fillId="0" borderId="12" xfId="3" applyFont="1" applyBorder="1" applyAlignment="1">
      <alignment vertical="center"/>
    </xf>
    <xf numFmtId="167" fontId="6" fillId="0" borderId="0" xfId="3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18" xfId="3" applyNumberFormat="1" applyFont="1" applyBorder="1" applyAlignment="1">
      <alignment horizontal="center" vertical="center"/>
    </xf>
    <xf numFmtId="166" fontId="3" fillId="0" borderId="26" xfId="3" applyFont="1" applyBorder="1" applyAlignment="1">
      <alignment vertical="center"/>
    </xf>
    <xf numFmtId="4" fontId="3" fillId="0" borderId="27" xfId="0" applyNumberFormat="1" applyFont="1" applyBorder="1" applyAlignment="1">
      <alignment vertical="center"/>
    </xf>
    <xf numFmtId="166" fontId="6" fillId="0" borderId="17" xfId="3" applyFont="1" applyBorder="1" applyAlignment="1">
      <alignment vertical="center"/>
    </xf>
    <xf numFmtId="166" fontId="6" fillId="0" borderId="9" xfId="3" applyFont="1" applyBorder="1" applyAlignment="1">
      <alignment vertical="center"/>
    </xf>
    <xf numFmtId="0" fontId="0" fillId="0" borderId="9" xfId="0" applyBorder="1" applyAlignment="1">
      <alignment vertical="center"/>
    </xf>
    <xf numFmtId="1" fontId="6" fillId="0" borderId="10" xfId="3" applyNumberFormat="1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27" xfId="0" applyBorder="1" applyAlignment="1">
      <alignment vertical="center"/>
    </xf>
    <xf numFmtId="1" fontId="3" fillId="0" borderId="29" xfId="3" applyNumberFormat="1" applyFont="1" applyBorder="1" applyAlignment="1">
      <alignment horizontal="center" vertical="center"/>
    </xf>
    <xf numFmtId="166" fontId="12" fillId="0" borderId="1" xfId="3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66" fontId="3" fillId="2" borderId="4" xfId="3" applyNumberFormat="1" applyFont="1" applyFill="1" applyBorder="1" applyAlignment="1">
      <alignment horizontal="center" vertical="center"/>
    </xf>
    <xf numFmtId="166" fontId="6" fillId="0" borderId="1" xfId="3" applyFont="1" applyFill="1" applyBorder="1" applyAlignment="1">
      <alignment horizontal="center" vertical="center"/>
    </xf>
    <xf numFmtId="166" fontId="11" fillId="0" borderId="0" xfId="3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166" fontId="6" fillId="3" borderId="2" xfId="3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>
      <alignment horizontal="center" vertical="center"/>
    </xf>
    <xf numFmtId="166" fontId="6" fillId="3" borderId="1" xfId="3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166" fontId="6" fillId="3" borderId="0" xfId="3" applyFont="1" applyFill="1" applyAlignment="1">
      <alignment vertical="center"/>
    </xf>
    <xf numFmtId="0" fontId="6" fillId="0" borderId="0" xfId="0" applyFont="1" applyAlignment="1">
      <alignment horizontal="right" vertical="center"/>
    </xf>
    <xf numFmtId="167" fontId="6" fillId="0" borderId="1" xfId="3" applyNumberFormat="1" applyFont="1" applyBorder="1" applyAlignment="1">
      <alignment horizontal="center" vertical="center"/>
    </xf>
    <xf numFmtId="166" fontId="6" fillId="3" borderId="1" xfId="3" applyNumberFormat="1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168" fontId="6" fillId="3" borderId="2" xfId="3" applyNumberFormat="1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/>
    </xf>
    <xf numFmtId="4" fontId="6" fillId="3" borderId="1" xfId="0" applyNumberFormat="1" applyFont="1" applyFill="1" applyBorder="1" applyAlignment="1">
      <alignment horizontal="center" vertical="center"/>
    </xf>
    <xf numFmtId="13" fontId="6" fillId="3" borderId="1" xfId="0" applyNumberFormat="1" applyFont="1" applyFill="1" applyBorder="1" applyAlignment="1">
      <alignment horizontal="center" vertical="center"/>
    </xf>
    <xf numFmtId="167" fontId="6" fillId="0" borderId="1" xfId="3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6" fontId="3" fillId="0" borderId="1" xfId="3" applyFont="1" applyBorder="1" applyAlignment="1">
      <alignment horizontal="center" vertical="center"/>
    </xf>
    <xf numFmtId="166" fontId="6" fillId="0" borderId="2" xfId="3" applyFont="1" applyFill="1" applyBorder="1" applyAlignment="1">
      <alignment horizontal="center" vertical="center"/>
    </xf>
    <xf numFmtId="0" fontId="8" fillId="0" borderId="0" xfId="1" applyAlignment="1" applyProtection="1">
      <alignment vertical="center"/>
    </xf>
    <xf numFmtId="0" fontId="3" fillId="0" borderId="0" xfId="0" applyFont="1"/>
    <xf numFmtId="0" fontId="13" fillId="2" borderId="30" xfId="0" applyFont="1" applyFill="1" applyBorder="1" applyAlignment="1">
      <alignment horizontal="center" vertical="center"/>
    </xf>
    <xf numFmtId="0" fontId="13" fillId="2" borderId="31" xfId="0" applyFont="1" applyFill="1" applyBorder="1" applyAlignment="1">
      <alignment horizontal="center" vertical="center"/>
    </xf>
    <xf numFmtId="166" fontId="13" fillId="2" borderId="31" xfId="3" applyFont="1" applyFill="1" applyBorder="1" applyAlignment="1">
      <alignment horizontal="center" vertical="center"/>
    </xf>
    <xf numFmtId="166" fontId="6" fillId="0" borderId="0" xfId="3" applyFont="1" applyFill="1" applyAlignment="1">
      <alignment vertical="center"/>
    </xf>
    <xf numFmtId="166" fontId="3" fillId="0" borderId="1" xfId="3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vertical="center"/>
    </xf>
    <xf numFmtId="165" fontId="3" fillId="0" borderId="32" xfId="0" applyNumberFormat="1" applyFont="1" applyBorder="1" applyAlignment="1">
      <alignment vertical="center"/>
    </xf>
    <xf numFmtId="166" fontId="3" fillId="0" borderId="33" xfId="3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66" fontId="3" fillId="0" borderId="0" xfId="3" applyFont="1" applyAlignment="1">
      <alignment horizontal="center" vertical="center"/>
    </xf>
    <xf numFmtId="166" fontId="3" fillId="0" borderId="3" xfId="3" applyFont="1" applyBorder="1" applyAlignment="1">
      <alignment horizontal="center" vertical="center"/>
    </xf>
    <xf numFmtId="2" fontId="6" fillId="0" borderId="1" xfId="3" applyNumberFormat="1" applyFont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6" fontId="6" fillId="0" borderId="0" xfId="3" applyFont="1" applyAlignment="1">
      <alignment horizontal="right" vertical="center"/>
    </xf>
    <xf numFmtId="166" fontId="3" fillId="2" borderId="7" xfId="3" applyFont="1" applyFill="1" applyBorder="1" applyAlignment="1">
      <alignment horizontal="center" vertical="center"/>
    </xf>
    <xf numFmtId="166" fontId="3" fillId="0" borderId="12" xfId="3" applyFont="1" applyBorder="1" applyAlignment="1">
      <alignment vertical="center"/>
    </xf>
    <xf numFmtId="166" fontId="3" fillId="0" borderId="8" xfId="0" applyNumberFormat="1" applyFont="1" applyBorder="1" applyAlignment="1">
      <alignment vertical="center"/>
    </xf>
    <xf numFmtId="166" fontId="3" fillId="0" borderId="8" xfId="3" applyFont="1" applyBorder="1" applyAlignment="1">
      <alignment vertical="center"/>
    </xf>
    <xf numFmtId="10" fontId="3" fillId="0" borderId="13" xfId="2" applyNumberFormat="1" applyFont="1" applyBorder="1" applyAlignment="1">
      <alignment vertical="center"/>
    </xf>
    <xf numFmtId="166" fontId="3" fillId="0" borderId="36" xfId="3" applyFont="1" applyBorder="1" applyAlignment="1">
      <alignment vertical="center"/>
    </xf>
    <xf numFmtId="4" fontId="3" fillId="0" borderId="0" xfId="0" applyNumberFormat="1" applyFont="1" applyBorder="1" applyAlignment="1">
      <alignment vertical="center"/>
    </xf>
    <xf numFmtId="166" fontId="6" fillId="0" borderId="37" xfId="3" applyFont="1" applyBorder="1" applyAlignment="1">
      <alignment vertical="center"/>
    </xf>
    <xf numFmtId="166" fontId="6" fillId="0" borderId="38" xfId="3" applyFont="1" applyBorder="1" applyAlignment="1">
      <alignment vertical="center"/>
    </xf>
    <xf numFmtId="166" fontId="6" fillId="0" borderId="39" xfId="3" applyFont="1" applyBorder="1" applyAlignment="1">
      <alignment vertical="center"/>
    </xf>
    <xf numFmtId="0" fontId="6" fillId="0" borderId="39" xfId="0" applyFont="1" applyBorder="1" applyAlignment="1">
      <alignment vertical="center"/>
    </xf>
    <xf numFmtId="1" fontId="6" fillId="0" borderId="35" xfId="3" applyNumberFormat="1" applyFont="1" applyBorder="1" applyAlignment="1">
      <alignment horizontal="center" vertical="center"/>
    </xf>
    <xf numFmtId="166" fontId="3" fillId="0" borderId="12" xfId="3" applyFont="1" applyBorder="1" applyAlignment="1">
      <alignment horizontal="left" vertical="center"/>
    </xf>
    <xf numFmtId="4" fontId="3" fillId="0" borderId="8" xfId="0" applyNumberFormat="1" applyFont="1" applyBorder="1" applyAlignment="1">
      <alignment horizontal="centerContinuous" vertical="center"/>
    </xf>
    <xf numFmtId="4" fontId="0" fillId="0" borderId="0" xfId="0" applyNumberFormat="1" applyBorder="1" applyAlignment="1">
      <alignment vertical="center"/>
    </xf>
    <xf numFmtId="4" fontId="6" fillId="0" borderId="0" xfId="0" applyNumberFormat="1" applyFont="1" applyBorder="1" applyAlignment="1">
      <alignment vertical="center"/>
    </xf>
    <xf numFmtId="166" fontId="6" fillId="6" borderId="1" xfId="3" applyFont="1" applyFill="1" applyBorder="1" applyAlignment="1">
      <alignment horizontal="center" vertical="center"/>
    </xf>
    <xf numFmtId="166" fontId="6" fillId="6" borderId="1" xfId="3" applyFont="1" applyFill="1" applyBorder="1" applyAlignment="1">
      <alignment vertical="center"/>
    </xf>
    <xf numFmtId="9" fontId="3" fillId="0" borderId="16" xfId="2" applyFont="1" applyBorder="1" applyAlignment="1">
      <alignment vertical="center"/>
    </xf>
    <xf numFmtId="10" fontId="6" fillId="0" borderId="13" xfId="2" applyNumberFormat="1" applyFont="1" applyBorder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166" fontId="6" fillId="0" borderId="1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0" fillId="0" borderId="36" xfId="0" applyFill="1" applyBorder="1" applyAlignment="1">
      <alignment vertical="center"/>
    </xf>
    <xf numFmtId="4" fontId="0" fillId="0" borderId="0" xfId="0" applyNumberFormat="1" applyFill="1" applyBorder="1" applyAlignment="1">
      <alignment vertical="center"/>
    </xf>
    <xf numFmtId="166" fontId="0" fillId="0" borderId="0" xfId="3" applyFont="1" applyFill="1" applyBorder="1" applyAlignment="1">
      <alignment vertical="center"/>
    </xf>
    <xf numFmtId="166" fontId="0" fillId="0" borderId="37" xfId="3" applyFont="1" applyFill="1" applyBorder="1" applyAlignment="1">
      <alignment vertical="center"/>
    </xf>
    <xf numFmtId="0" fontId="6" fillId="0" borderId="1" xfId="0" applyNumberFormat="1" applyFont="1" applyBorder="1" applyAlignment="1">
      <alignment horizontal="center" vertical="center"/>
    </xf>
    <xf numFmtId="167" fontId="3" fillId="0" borderId="0" xfId="3" applyNumberFormat="1" applyFont="1" applyBorder="1" applyAlignment="1">
      <alignment horizontal="center" vertical="center"/>
    </xf>
    <xf numFmtId="0" fontId="18" fillId="0" borderId="12" xfId="0" applyFont="1" applyBorder="1"/>
    <xf numFmtId="0" fontId="6" fillId="0" borderId="0" xfId="0" applyFont="1" applyBorder="1"/>
    <xf numFmtId="0" fontId="18" fillId="0" borderId="45" xfId="0" applyFont="1" applyBorder="1"/>
    <xf numFmtId="0" fontId="18" fillId="3" borderId="18" xfId="0" applyFont="1" applyFill="1" applyBorder="1"/>
    <xf numFmtId="0" fontId="18" fillId="0" borderId="21" xfId="0" applyFont="1" applyBorder="1"/>
    <xf numFmtId="0" fontId="18" fillId="0" borderId="46" xfId="0" applyFont="1" applyBorder="1"/>
    <xf numFmtId="0" fontId="18" fillId="0" borderId="18" xfId="0" applyFont="1" applyBorder="1"/>
    <xf numFmtId="0" fontId="18" fillId="0" borderId="26" xfId="0" applyFont="1" applyBorder="1"/>
    <xf numFmtId="2" fontId="19" fillId="7" borderId="1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2" fontId="19" fillId="7" borderId="34" xfId="0" applyNumberFormat="1" applyFont="1" applyFill="1" applyBorder="1" applyAlignment="1">
      <alignment horizontal="right" vertical="center"/>
    </xf>
    <xf numFmtId="0" fontId="19" fillId="0" borderId="21" xfId="0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19" fillId="0" borderId="18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10" fontId="19" fillId="0" borderId="18" xfId="0" applyNumberFormat="1" applyFont="1" applyBorder="1" applyAlignment="1">
      <alignment horizontal="right" vertical="center"/>
    </xf>
    <xf numFmtId="0" fontId="19" fillId="0" borderId="0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0" fontId="23" fillId="0" borderId="18" xfId="0" applyNumberFormat="1" applyFont="1" applyBorder="1" applyAlignment="1">
      <alignment horizontal="right" vertical="center"/>
    </xf>
    <xf numFmtId="0" fontId="19" fillId="5" borderId="21" xfId="0" applyFont="1" applyFill="1" applyBorder="1" applyAlignment="1">
      <alignment horizontal="left" vertical="center"/>
    </xf>
    <xf numFmtId="0" fontId="23" fillId="5" borderId="1" xfId="0" applyFont="1" applyFill="1" applyBorder="1" applyAlignment="1">
      <alignment horizontal="left" vertical="center"/>
    </xf>
    <xf numFmtId="10" fontId="23" fillId="5" borderId="18" xfId="0" applyNumberFormat="1" applyFont="1" applyFill="1" applyBorder="1" applyAlignment="1">
      <alignment horizontal="right" vertical="center"/>
    </xf>
    <xf numFmtId="0" fontId="24" fillId="0" borderId="1" xfId="0" applyFont="1" applyBorder="1" applyAlignment="1">
      <alignment horizontal="left" vertical="center"/>
    </xf>
    <xf numFmtId="0" fontId="25" fillId="0" borderId="0" xfId="0" applyFont="1" applyFill="1" applyBorder="1" applyAlignment="1">
      <alignment horizontal="left" vertical="center"/>
    </xf>
    <xf numFmtId="10" fontId="6" fillId="0" borderId="0" xfId="0" applyNumberFormat="1" applyFont="1"/>
    <xf numFmtId="9" fontId="19" fillId="0" borderId="0" xfId="2" applyFont="1" applyBorder="1" applyAlignment="1">
      <alignment horizontal="right" vertical="center"/>
    </xf>
    <xf numFmtId="10" fontId="6" fillId="0" borderId="0" xfId="0" applyNumberFormat="1" applyFont="1" applyBorder="1"/>
    <xf numFmtId="0" fontId="19" fillId="0" borderId="1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9" fillId="9" borderId="22" xfId="0" applyFont="1" applyFill="1" applyBorder="1" applyAlignment="1">
      <alignment horizontal="left" vertical="center"/>
    </xf>
    <xf numFmtId="0" fontId="23" fillId="9" borderId="34" xfId="0" applyFont="1" applyFill="1" applyBorder="1" applyAlignment="1">
      <alignment horizontal="left" vertical="center"/>
    </xf>
    <xf numFmtId="10" fontId="23" fillId="9" borderId="35" xfId="0" applyNumberFormat="1" applyFont="1" applyFill="1" applyBorder="1" applyAlignment="1">
      <alignment horizontal="right" vertical="center"/>
    </xf>
    <xf numFmtId="0" fontId="23" fillId="0" borderId="0" xfId="0" applyFont="1" applyFill="1" applyBorder="1" applyAlignment="1">
      <alignment horizontal="left" vertical="center"/>
    </xf>
    <xf numFmtId="10" fontId="23" fillId="0" borderId="0" xfId="0" applyNumberFormat="1" applyFont="1" applyFill="1" applyBorder="1" applyAlignment="1">
      <alignment horizontal="right" vertical="center"/>
    </xf>
    <xf numFmtId="0" fontId="25" fillId="4" borderId="0" xfId="0" applyFont="1" applyFill="1" applyBorder="1" applyAlignment="1">
      <alignment horizontal="left" vertical="center"/>
    </xf>
    <xf numFmtId="10" fontId="19" fillId="0" borderId="0" xfId="0" applyNumberFormat="1" applyFont="1" applyFill="1" applyBorder="1" applyAlignment="1">
      <alignment horizontal="right" vertical="center"/>
    </xf>
    <xf numFmtId="0" fontId="19" fillId="4" borderId="0" xfId="0" applyFont="1" applyFill="1" applyBorder="1" applyAlignment="1">
      <alignment horizontal="left" vertical="center"/>
    </xf>
    <xf numFmtId="10" fontId="19" fillId="0" borderId="0" xfId="0" applyNumberFormat="1" applyFont="1" applyBorder="1" applyAlignment="1">
      <alignment horizontal="right" vertical="center"/>
    </xf>
    <xf numFmtId="0" fontId="23" fillId="0" borderId="0" xfId="0" applyFont="1" applyBorder="1" applyAlignment="1">
      <alignment horizontal="left" vertical="center"/>
    </xf>
    <xf numFmtId="10" fontId="23" fillId="0" borderId="0" xfId="0" applyNumberFormat="1" applyFont="1" applyBorder="1" applyAlignment="1">
      <alignment horizontal="right" vertical="center"/>
    </xf>
    <xf numFmtId="0" fontId="26" fillId="0" borderId="0" xfId="0" applyFont="1" applyBorder="1" applyAlignment="1">
      <alignment horizontal="justify" vertical="center"/>
    </xf>
    <xf numFmtId="0" fontId="8" fillId="0" borderId="0" xfId="1" applyFont="1" applyBorder="1" applyAlignment="1" applyProtection="1">
      <alignment horizontal="left" vertical="center"/>
    </xf>
    <xf numFmtId="0" fontId="27" fillId="0" borderId="0" xfId="0" applyFont="1" applyBorder="1"/>
    <xf numFmtId="0" fontId="19" fillId="0" borderId="0" xfId="0" applyFont="1" applyBorder="1" applyAlignment="1">
      <alignment horizontal="right" vertical="center"/>
    </xf>
    <xf numFmtId="0" fontId="8" fillId="0" borderId="0" xfId="1" applyFont="1" applyBorder="1" applyAlignment="1" applyProtection="1">
      <alignment vertical="center"/>
    </xf>
    <xf numFmtId="0" fontId="5" fillId="0" borderId="13" xfId="0" applyFont="1" applyBorder="1"/>
    <xf numFmtId="0" fontId="5" fillId="0" borderId="21" xfId="0" applyFont="1" applyBorder="1"/>
    <xf numFmtId="0" fontId="5" fillId="3" borderId="18" xfId="0" applyFont="1" applyFill="1" applyBorder="1"/>
    <xf numFmtId="0" fontId="5" fillId="0" borderId="45" xfId="0" applyFont="1" applyBorder="1"/>
    <xf numFmtId="0" fontId="5" fillId="3" borderId="46" xfId="0" applyFont="1" applyFill="1" applyBorder="1"/>
    <xf numFmtId="0" fontId="5" fillId="0" borderId="47" xfId="0" applyFont="1" applyBorder="1"/>
    <xf numFmtId="0" fontId="5" fillId="3" borderId="48" xfId="0" applyFont="1" applyFill="1" applyBorder="1"/>
    <xf numFmtId="0" fontId="5" fillId="0" borderId="36" xfId="0" applyFont="1" applyBorder="1"/>
    <xf numFmtId="0" fontId="5" fillId="0" borderId="37" xfId="0" applyFont="1" applyBorder="1"/>
    <xf numFmtId="0" fontId="7" fillId="0" borderId="46" xfId="0" applyFont="1" applyBorder="1"/>
    <xf numFmtId="0" fontId="7" fillId="0" borderId="36" xfId="0" applyFont="1" applyFill="1" applyBorder="1" applyAlignment="1">
      <alignment horizontal="left" vertical="center"/>
    </xf>
    <xf numFmtId="0" fontId="5" fillId="0" borderId="0" xfId="0" applyFont="1" applyBorder="1"/>
    <xf numFmtId="9" fontId="5" fillId="0" borderId="21" xfId="2" applyFont="1" applyBorder="1"/>
    <xf numFmtId="9" fontId="5" fillId="0" borderId="1" xfId="2" applyFont="1" applyBorder="1" applyAlignment="1">
      <alignment horizontal="center"/>
    </xf>
    <xf numFmtId="9" fontId="5" fillId="0" borderId="18" xfId="2" applyFont="1" applyBorder="1"/>
    <xf numFmtId="0" fontId="5" fillId="0" borderId="19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center" vertical="center"/>
    </xf>
    <xf numFmtId="10" fontId="5" fillId="3" borderId="10" xfId="0" applyNumberFormat="1" applyFont="1" applyFill="1" applyBorder="1" applyAlignment="1">
      <alignment horizontal="center" vertical="center"/>
    </xf>
    <xf numFmtId="10" fontId="5" fillId="0" borderId="18" xfId="2" applyNumberFormat="1" applyFont="1" applyBorder="1"/>
    <xf numFmtId="0" fontId="5" fillId="0" borderId="2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10" fontId="5" fillId="3" borderId="18" xfId="0" applyNumberFormat="1" applyFont="1" applyFill="1" applyBorder="1" applyAlignment="1">
      <alignment horizontal="center" vertical="center"/>
    </xf>
    <xf numFmtId="10" fontId="5" fillId="0" borderId="18" xfId="0" applyNumberFormat="1" applyFont="1" applyFill="1" applyBorder="1" applyAlignment="1">
      <alignment horizontal="center" vertical="center"/>
    </xf>
    <xf numFmtId="10" fontId="5" fillId="3" borderId="1" xfId="2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18" xfId="0" applyFont="1" applyBorder="1"/>
    <xf numFmtId="0" fontId="5" fillId="0" borderId="22" xfId="0" applyFont="1" applyFill="1" applyBorder="1" applyAlignment="1">
      <alignment horizontal="left" vertical="center"/>
    </xf>
    <xf numFmtId="10" fontId="5" fillId="3" borderId="35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3" xfId="0" applyFont="1" applyFill="1" applyBorder="1" applyAlignment="1">
      <alignment vertical="center"/>
    </xf>
    <xf numFmtId="0" fontId="5" fillId="0" borderId="24" xfId="0" applyFont="1" applyFill="1" applyBorder="1" applyAlignment="1">
      <alignment vertical="center"/>
    </xf>
    <xf numFmtId="10" fontId="5" fillId="0" borderId="25" xfId="0" applyNumberFormat="1" applyFont="1" applyFill="1" applyBorder="1" applyAlignment="1">
      <alignment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7" xfId="0" applyFont="1" applyFill="1" applyBorder="1" applyAlignment="1">
      <alignment horizontal="left" vertical="center"/>
    </xf>
    <xf numFmtId="0" fontId="5" fillId="0" borderId="28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10" fontId="7" fillId="5" borderId="7" xfId="0" applyNumberFormat="1" applyFont="1" applyFill="1" applyBorder="1" applyAlignment="1">
      <alignment horizontal="center" vertical="center" wrapText="1"/>
    </xf>
    <xf numFmtId="10" fontId="5" fillId="0" borderId="21" xfId="2" applyNumberFormat="1" applyFont="1" applyBorder="1" applyAlignment="1">
      <alignment horizontal="right"/>
    </xf>
    <xf numFmtId="10" fontId="5" fillId="0" borderId="1" xfId="2" applyNumberFormat="1" applyFont="1" applyBorder="1" applyAlignment="1">
      <alignment horizontal="right"/>
    </xf>
    <xf numFmtId="10" fontId="5" fillId="0" borderId="18" xfId="2" applyNumberFormat="1" applyFont="1" applyBorder="1" applyAlignment="1">
      <alignment horizontal="right"/>
    </xf>
    <xf numFmtId="10" fontId="5" fillId="0" borderId="22" xfId="2" applyNumberFormat="1" applyFont="1" applyBorder="1" applyAlignment="1">
      <alignment horizontal="right"/>
    </xf>
    <xf numFmtId="10" fontId="5" fillId="0" borderId="34" xfId="2" applyNumberFormat="1" applyFont="1" applyBorder="1" applyAlignment="1">
      <alignment horizontal="right"/>
    </xf>
    <xf numFmtId="10" fontId="5" fillId="0" borderId="35" xfId="2" applyNumberFormat="1" applyFont="1" applyBorder="1" applyAlignment="1">
      <alignment horizontal="right"/>
    </xf>
    <xf numFmtId="0" fontId="6" fillId="0" borderId="50" xfId="0" applyFont="1" applyBorder="1"/>
    <xf numFmtId="0" fontId="20" fillId="0" borderId="50" xfId="0" applyFont="1" applyBorder="1" applyAlignment="1">
      <alignment horizontal="justify"/>
    </xf>
    <xf numFmtId="0" fontId="20" fillId="0" borderId="51" xfId="0" applyFont="1" applyBorder="1" applyAlignment="1">
      <alignment horizontal="justify"/>
    </xf>
    <xf numFmtId="0" fontId="17" fillId="10" borderId="49" xfId="0" applyFont="1" applyFill="1" applyBorder="1" applyAlignment="1">
      <alignment horizontal="center"/>
    </xf>
    <xf numFmtId="1" fontId="6" fillId="0" borderId="0" xfId="3" applyNumberFormat="1" applyFont="1" applyBorder="1" applyAlignment="1">
      <alignment horizontal="center" vertical="center"/>
    </xf>
    <xf numFmtId="169" fontId="3" fillId="0" borderId="1" xfId="0" applyNumberFormat="1" applyFont="1" applyBorder="1" applyAlignment="1">
      <alignment vertical="center"/>
    </xf>
    <xf numFmtId="169" fontId="0" fillId="0" borderId="1" xfId="0" applyNumberFormat="1" applyBorder="1" applyAlignment="1">
      <alignment vertical="center"/>
    </xf>
    <xf numFmtId="169" fontId="3" fillId="0" borderId="34" xfId="0" applyNumberFormat="1" applyFont="1" applyBorder="1" applyAlignment="1">
      <alignment vertical="center"/>
    </xf>
    <xf numFmtId="166" fontId="3" fillId="0" borderId="9" xfId="3" applyFont="1" applyBorder="1" applyAlignment="1">
      <alignment vertical="center"/>
    </xf>
    <xf numFmtId="166" fontId="3" fillId="0" borderId="5" xfId="3" applyFont="1" applyBorder="1" applyAlignment="1">
      <alignment vertical="center"/>
    </xf>
    <xf numFmtId="9" fontId="3" fillId="3" borderId="7" xfId="2" applyFont="1" applyFill="1" applyBorder="1" applyAlignment="1">
      <alignment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7" borderId="1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8" xfId="3" applyFont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168" fontId="6" fillId="0" borderId="1" xfId="3" applyNumberFormat="1" applyFont="1" applyBorder="1" applyAlignment="1">
      <alignment horizontal="center" vertical="center"/>
    </xf>
    <xf numFmtId="167" fontId="3" fillId="0" borderId="1" xfId="3" applyNumberFormat="1" applyFont="1" applyBorder="1" applyAlignment="1">
      <alignment horizontal="center" vertical="center"/>
    </xf>
    <xf numFmtId="168" fontId="3" fillId="0" borderId="1" xfId="3" applyNumberFormat="1" applyFont="1" applyBorder="1" applyAlignment="1">
      <alignment horizontal="center" vertical="center"/>
    </xf>
    <xf numFmtId="168" fontId="6" fillId="0" borderId="2" xfId="3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0" xfId="0" applyFont="1"/>
    <xf numFmtId="0" fontId="3" fillId="0" borderId="52" xfId="0" applyFont="1" applyBorder="1" applyAlignment="1">
      <alignment vertical="center"/>
    </xf>
    <xf numFmtId="0" fontId="3" fillId="0" borderId="52" xfId="0" applyFont="1" applyBorder="1" applyAlignment="1">
      <alignment horizontal="center" vertical="center"/>
    </xf>
    <xf numFmtId="166" fontId="3" fillId="0" borderId="52" xfId="3" applyFont="1" applyBorder="1" applyAlignment="1">
      <alignment horizontal="center" vertical="center"/>
    </xf>
    <xf numFmtId="166" fontId="3" fillId="0" borderId="52" xfId="3" applyFont="1" applyFill="1" applyBorder="1" applyAlignment="1">
      <alignment horizontal="center" vertical="center"/>
    </xf>
    <xf numFmtId="4" fontId="1" fillId="0" borderId="0" xfId="0" applyNumberFormat="1" applyFont="1" applyBorder="1" applyAlignment="1">
      <alignment vertical="center"/>
    </xf>
    <xf numFmtId="0" fontId="1" fillId="0" borderId="0" xfId="0" applyFont="1" applyFill="1"/>
    <xf numFmtId="0" fontId="7" fillId="0" borderId="21" xfId="0" applyFont="1" applyBorder="1"/>
    <xf numFmtId="0" fontId="7" fillId="0" borderId="1" xfId="0" applyFont="1" applyBorder="1"/>
    <xf numFmtId="0" fontId="7" fillId="0" borderId="18" xfId="0" applyFont="1" applyBorder="1"/>
    <xf numFmtId="0" fontId="5" fillId="0" borderId="21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171" fontId="24" fillId="0" borderId="18" xfId="3" applyNumberFormat="1" applyFont="1" applyBorder="1" applyAlignment="1">
      <alignment horizontal="center" vertical="center" wrapText="1"/>
    </xf>
    <xf numFmtId="172" fontId="5" fillId="0" borderId="18" xfId="0" applyNumberFormat="1" applyFont="1" applyBorder="1"/>
    <xf numFmtId="2" fontId="5" fillId="0" borderId="18" xfId="0" applyNumberFormat="1" applyFont="1" applyBorder="1"/>
    <xf numFmtId="0" fontId="5" fillId="0" borderId="22" xfId="0" applyFont="1" applyFill="1" applyBorder="1"/>
    <xf numFmtId="0" fontId="5" fillId="0" borderId="34" xfId="0" applyFont="1" applyBorder="1"/>
    <xf numFmtId="172" fontId="5" fillId="3" borderId="18" xfId="0" applyNumberFormat="1" applyFont="1" applyFill="1" applyBorder="1"/>
    <xf numFmtId="172" fontId="5" fillId="0" borderId="35" xfId="0" applyNumberFormat="1" applyFont="1" applyBorder="1"/>
    <xf numFmtId="0" fontId="17" fillId="0" borderId="1" xfId="0" applyFont="1" applyFill="1" applyBorder="1" applyAlignment="1">
      <alignment horizontal="center"/>
    </xf>
    <xf numFmtId="0" fontId="17" fillId="0" borderId="21" xfId="0" applyFont="1" applyFill="1" applyBorder="1" applyAlignment="1">
      <alignment horizontal="center"/>
    </xf>
    <xf numFmtId="0" fontId="17" fillId="0" borderId="18" xfId="0" applyFont="1" applyFill="1" applyBorder="1" applyAlignment="1">
      <alignment horizontal="center"/>
    </xf>
    <xf numFmtId="173" fontId="5" fillId="3" borderId="18" xfId="0" applyNumberFormat="1" applyFont="1" applyFill="1" applyBorder="1"/>
    <xf numFmtId="0" fontId="5" fillId="0" borderId="21" xfId="0" applyFont="1" applyBorder="1" applyAlignment="1">
      <alignment horizontal="right"/>
    </xf>
    <xf numFmtId="0" fontId="4" fillId="0" borderId="0" xfId="0" applyFont="1" applyAlignment="1">
      <alignment vertical="center"/>
    </xf>
    <xf numFmtId="4" fontId="32" fillId="0" borderId="0" xfId="0" applyNumberFormat="1" applyFont="1" applyBorder="1" applyAlignment="1">
      <alignment vertical="center"/>
    </xf>
    <xf numFmtId="0" fontId="33" fillId="0" borderId="0" xfId="0" applyFont="1" applyAlignment="1">
      <alignment vertical="center"/>
    </xf>
    <xf numFmtId="4" fontId="33" fillId="0" borderId="0" xfId="0" applyNumberFormat="1" applyFont="1" applyBorder="1" applyAlignment="1">
      <alignment vertical="center"/>
    </xf>
    <xf numFmtId="0" fontId="5" fillId="0" borderId="18" xfId="0" applyFont="1" applyFill="1" applyBorder="1"/>
    <xf numFmtId="0" fontId="31" fillId="0" borderId="0" xfId="0" applyFont="1"/>
    <xf numFmtId="0" fontId="1" fillId="0" borderId="2" xfId="0" applyFont="1" applyBorder="1" applyAlignment="1">
      <alignment vertical="center"/>
    </xf>
    <xf numFmtId="170" fontId="7" fillId="0" borderId="18" xfId="0" applyNumberFormat="1" applyFont="1" applyBorder="1"/>
    <xf numFmtId="9" fontId="18" fillId="0" borderId="18" xfId="2" applyFont="1" applyBorder="1"/>
    <xf numFmtId="10" fontId="18" fillId="0" borderId="18" xfId="2" applyNumberFormat="1" applyFont="1" applyBorder="1"/>
    <xf numFmtId="9" fontId="7" fillId="0" borderId="29" xfId="2" applyFont="1" applyBorder="1"/>
    <xf numFmtId="0" fontId="5" fillId="0" borderId="53" xfId="0" applyFont="1" applyBorder="1"/>
    <xf numFmtId="0" fontId="1" fillId="0" borderId="1" xfId="0" applyFont="1" applyBorder="1" applyAlignment="1">
      <alignment vertical="center"/>
    </xf>
    <xf numFmtId="0" fontId="34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166" fontId="3" fillId="0" borderId="12" xfId="3" applyFont="1" applyBorder="1" applyAlignment="1">
      <alignment horizontal="left" vertical="center"/>
    </xf>
    <xf numFmtId="166" fontId="3" fillId="0" borderId="8" xfId="3" applyFont="1" applyBorder="1" applyAlignment="1">
      <alignment horizontal="left" vertical="center"/>
    </xf>
    <xf numFmtId="0" fontId="17" fillId="8" borderId="23" xfId="0" applyFont="1" applyFill="1" applyBorder="1" applyAlignment="1">
      <alignment horizontal="center" vertical="center"/>
    </xf>
    <xf numFmtId="0" fontId="17" fillId="8" borderId="24" xfId="0" applyFont="1" applyFill="1" applyBorder="1" applyAlignment="1">
      <alignment horizontal="center" vertical="center"/>
    </xf>
    <xf numFmtId="0" fontId="17" fillId="8" borderId="25" xfId="0" applyFont="1" applyFill="1" applyBorder="1" applyAlignment="1">
      <alignment horizontal="center" vertical="center"/>
    </xf>
    <xf numFmtId="0" fontId="7" fillId="8" borderId="42" xfId="0" applyFont="1" applyFill="1" applyBorder="1" applyAlignment="1">
      <alignment horizontal="center" vertical="center"/>
    </xf>
    <xf numFmtId="0" fontId="7" fillId="8" borderId="40" xfId="0" applyFont="1" applyFill="1" applyBorder="1" applyAlignment="1">
      <alignment horizontal="center" vertical="center"/>
    </xf>
    <xf numFmtId="0" fontId="7" fillId="8" borderId="43" xfId="0" applyFont="1" applyFill="1" applyBorder="1" applyAlignment="1">
      <alignment horizontal="center" vertical="center"/>
    </xf>
    <xf numFmtId="166" fontId="3" fillId="0" borderId="5" xfId="3" applyFont="1" applyBorder="1" applyAlignment="1">
      <alignment horizontal="center" vertical="center"/>
    </xf>
    <xf numFmtId="166" fontId="3" fillId="0" borderId="6" xfId="3" applyFont="1" applyBorder="1" applyAlignment="1">
      <alignment horizontal="center" vertical="center"/>
    </xf>
    <xf numFmtId="166" fontId="3" fillId="0" borderId="41" xfId="3" applyFont="1" applyBorder="1" applyAlignment="1">
      <alignment horizontal="center" vertical="center"/>
    </xf>
    <xf numFmtId="166" fontId="4" fillId="8" borderId="5" xfId="3" applyFont="1" applyFill="1" applyBorder="1" applyAlignment="1">
      <alignment horizontal="center" vertical="center"/>
    </xf>
    <xf numFmtId="166" fontId="4" fillId="8" borderId="6" xfId="3" applyFont="1" applyFill="1" applyBorder="1" applyAlignment="1">
      <alignment horizontal="center" vertical="center"/>
    </xf>
    <xf numFmtId="166" fontId="4" fillId="8" borderId="7" xfId="3" applyFont="1" applyFill="1" applyBorder="1" applyAlignment="1">
      <alignment horizontal="center" vertical="center"/>
    </xf>
    <xf numFmtId="0" fontId="17" fillId="8" borderId="19" xfId="0" applyFont="1" applyFill="1" applyBorder="1" applyAlignment="1">
      <alignment horizontal="center" vertical="center"/>
    </xf>
    <xf numFmtId="0" fontId="17" fillId="8" borderId="20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10" borderId="17" xfId="0" applyFont="1" applyFill="1" applyBorder="1" applyAlignment="1">
      <alignment horizontal="center"/>
    </xf>
    <xf numFmtId="0" fontId="17" fillId="10" borderId="44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9" fontId="7" fillId="0" borderId="19" xfId="2" applyFont="1" applyBorder="1" applyAlignment="1">
      <alignment horizontal="center"/>
    </xf>
    <xf numFmtId="9" fontId="7" fillId="0" borderId="20" xfId="2" applyFont="1" applyBorder="1" applyAlignment="1">
      <alignment horizontal="center"/>
    </xf>
    <xf numFmtId="9" fontId="7" fillId="0" borderId="10" xfId="2" applyFont="1" applyBorder="1" applyAlignment="1">
      <alignment horizontal="center"/>
    </xf>
    <xf numFmtId="0" fontId="4" fillId="10" borderId="23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25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17" fillId="10" borderId="19" xfId="0" applyFont="1" applyFill="1" applyBorder="1" applyAlignment="1">
      <alignment horizontal="center"/>
    </xf>
    <xf numFmtId="0" fontId="17" fillId="10" borderId="20" xfId="0" applyFont="1" applyFill="1" applyBorder="1" applyAlignment="1">
      <alignment horizontal="center"/>
    </xf>
    <xf numFmtId="0" fontId="17" fillId="10" borderId="10" xfId="0" applyFont="1" applyFill="1" applyBorder="1" applyAlignment="1">
      <alignment horizontal="center"/>
    </xf>
    <xf numFmtId="0" fontId="31" fillId="0" borderId="0" xfId="0" applyFont="1" applyAlignment="1">
      <alignment horizontal="center" wrapText="1"/>
    </xf>
  </cellXfs>
  <cellStyles count="4">
    <cellStyle name="Hiperlink" xfId="1" builtinId="8"/>
    <cellStyle name="Normal" xfId="0" builtinId="0"/>
    <cellStyle name="Porcentagem" xfId="2" builtinId="5"/>
    <cellStyle name="Vírgula" xfId="3" builtinId="3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4</xdr:row>
      <xdr:rowOff>28575</xdr:rowOff>
    </xdr:from>
    <xdr:to>
      <xdr:col>0</xdr:col>
      <xdr:colOff>1419225</xdr:colOff>
      <xdr:row>6</xdr:row>
      <xdr:rowOff>66675</xdr:rowOff>
    </xdr:to>
    <xdr:pic>
      <xdr:nvPicPr>
        <xdr:cNvPr id="650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419100"/>
          <a:ext cx="128587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85725</xdr:colOff>
      <xdr:row>7</xdr:row>
      <xdr:rowOff>9525</xdr:rowOff>
    </xdr:from>
    <xdr:to>
      <xdr:col>0</xdr:col>
      <xdr:colOff>2124075</xdr:colOff>
      <xdr:row>9</xdr:row>
      <xdr:rowOff>57150</xdr:rowOff>
    </xdr:to>
    <xdr:pic>
      <xdr:nvPicPr>
        <xdr:cNvPr id="65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85825"/>
          <a:ext cx="2038350" cy="371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329"/>
  <sheetViews>
    <sheetView view="pageBreakPreview" zoomScaleNormal="100" zoomScaleSheetLayoutView="100" workbookViewId="0">
      <selection activeCell="E6" sqref="E6"/>
    </sheetView>
  </sheetViews>
  <sheetFormatPr defaultRowHeight="12.75" x14ac:dyDescent="0.2"/>
  <cols>
    <col min="1" max="1" width="44.5703125" style="9" customWidth="1"/>
    <col min="2" max="2" width="16" style="9" bestFit="1" customWidth="1"/>
    <col min="3" max="3" width="11.85546875" style="9" customWidth="1"/>
    <col min="4" max="4" width="14.7109375" style="10" customWidth="1"/>
    <col min="5" max="5" width="15.42578125" style="10" customWidth="1"/>
    <col min="6" max="6" width="13.28515625" style="10" customWidth="1"/>
    <col min="7" max="7" width="28.140625" style="10" customWidth="1"/>
    <col min="8" max="8" width="9.140625" style="9"/>
    <col min="9" max="9" width="14.5703125" style="9" customWidth="1"/>
    <col min="10" max="10" width="13.42578125" style="9" customWidth="1"/>
    <col min="11" max="16384" width="9.140625" style="9"/>
  </cols>
  <sheetData>
    <row r="1" spans="1:7" ht="15.75" x14ac:dyDescent="0.2">
      <c r="A1" s="298"/>
    </row>
    <row r="2" spans="1:7" ht="15.75" x14ac:dyDescent="0.2">
      <c r="A2" s="301"/>
    </row>
    <row r="3" spans="1:7" ht="15.75" x14ac:dyDescent="0.2">
      <c r="A3" s="301"/>
    </row>
    <row r="4" spans="1:7" ht="15.75" x14ac:dyDescent="0.2">
      <c r="A4" s="301"/>
    </row>
    <row r="5" spans="1:7" s="4" customFormat="1" ht="15.6" customHeight="1" x14ac:dyDescent="0.2">
      <c r="A5" s="300"/>
      <c r="C5" s="139"/>
      <c r="D5" s="139"/>
      <c r="E5" s="139"/>
      <c r="F5" s="139"/>
      <c r="G5" s="6"/>
    </row>
    <row r="6" spans="1:7" s="4" customFormat="1" ht="15.6" customHeight="1" x14ac:dyDescent="0.2">
      <c r="A6" s="299"/>
      <c r="B6" s="139"/>
      <c r="C6" s="139"/>
      <c r="D6" s="139"/>
      <c r="E6" s="139"/>
      <c r="F6" s="139"/>
      <c r="G6" s="6"/>
    </row>
    <row r="7" spans="1:7" s="4" customFormat="1" ht="15.6" customHeight="1" x14ac:dyDescent="0.2">
      <c r="A7" s="311" t="s">
        <v>305</v>
      </c>
      <c r="B7" s="311"/>
      <c r="C7" s="311"/>
      <c r="D7" s="311"/>
      <c r="E7" s="311"/>
      <c r="F7" s="311"/>
      <c r="G7" s="6"/>
    </row>
    <row r="8" spans="1:7" s="4" customFormat="1" ht="15.6" customHeight="1" x14ac:dyDescent="0.2">
      <c r="A8" s="311"/>
      <c r="B8" s="311"/>
      <c r="C8" s="311"/>
      <c r="D8" s="311"/>
      <c r="E8" s="311"/>
      <c r="F8" s="311"/>
      <c r="G8" s="6"/>
    </row>
    <row r="9" spans="1:7" s="4" customFormat="1" ht="15.6" customHeight="1" x14ac:dyDescent="0.2">
      <c r="A9" s="301"/>
      <c r="B9" s="139"/>
      <c r="C9" s="139"/>
      <c r="D9" s="139"/>
      <c r="E9" s="139"/>
      <c r="F9" s="139"/>
      <c r="G9" s="6"/>
    </row>
    <row r="10" spans="1:7" s="4" customFormat="1" ht="16.5" customHeight="1" thickBot="1" x14ac:dyDescent="0.25">
      <c r="A10" s="7"/>
      <c r="B10" s="5"/>
      <c r="C10" s="5"/>
      <c r="D10" s="6"/>
      <c r="E10" s="6"/>
      <c r="F10" s="6"/>
      <c r="G10" s="6"/>
    </row>
    <row r="11" spans="1:7" s="8" customFormat="1" ht="18" x14ac:dyDescent="0.2">
      <c r="A11" s="316" t="s">
        <v>223</v>
      </c>
      <c r="B11" s="317"/>
      <c r="C11" s="317"/>
      <c r="D11" s="317"/>
      <c r="E11" s="317"/>
      <c r="F11" s="318"/>
      <c r="G11" s="36"/>
    </row>
    <row r="12" spans="1:7" s="8" customFormat="1" ht="21.75" customHeight="1" x14ac:dyDescent="0.2">
      <c r="A12" s="319" t="s">
        <v>43</v>
      </c>
      <c r="B12" s="320"/>
      <c r="C12" s="320"/>
      <c r="D12" s="320"/>
      <c r="E12" s="320"/>
      <c r="F12" s="321"/>
      <c r="G12" s="36"/>
    </row>
    <row r="13" spans="1:7" s="4" customFormat="1" ht="10.9" customHeight="1" thickBot="1" x14ac:dyDescent="0.25">
      <c r="A13" s="151"/>
      <c r="B13" s="152"/>
      <c r="C13" s="152"/>
      <c r="D13" s="153"/>
      <c r="E13" s="153"/>
      <c r="F13" s="154"/>
      <c r="G13" s="6"/>
    </row>
    <row r="14" spans="1:7" s="4" customFormat="1" ht="15.75" customHeight="1" thickBot="1" x14ac:dyDescent="0.25">
      <c r="A14" s="325" t="s">
        <v>208</v>
      </c>
      <c r="B14" s="326"/>
      <c r="C14" s="326"/>
      <c r="D14" s="326"/>
      <c r="E14" s="326"/>
      <c r="F14" s="327"/>
      <c r="G14" s="6"/>
    </row>
    <row r="15" spans="1:7" s="4" customFormat="1" ht="15.75" customHeight="1" x14ac:dyDescent="0.2">
      <c r="A15" s="64" t="s">
        <v>207</v>
      </c>
      <c r="B15" s="40"/>
      <c r="C15" s="40"/>
      <c r="D15" s="255"/>
      <c r="E15" s="116" t="s">
        <v>38</v>
      </c>
      <c r="F15" s="41" t="s">
        <v>2</v>
      </c>
      <c r="G15" s="6"/>
    </row>
    <row r="16" spans="1:7" s="11" customFormat="1" ht="15.75" customHeight="1" x14ac:dyDescent="0.2">
      <c r="A16" s="126" t="str">
        <f>A53</f>
        <v>1. Mão-de-obra</v>
      </c>
      <c r="B16" s="127"/>
      <c r="C16" s="128"/>
      <c r="D16" s="128"/>
      <c r="E16" s="252">
        <f>+F143</f>
        <v>10822.116760895015</v>
      </c>
      <c r="F16" s="129">
        <f>IFERROR(E16/$E$36,0)</f>
        <v>0.60831391919332756</v>
      </c>
      <c r="G16" s="44"/>
    </row>
    <row r="17" spans="1:7" s="4" customFormat="1" ht="15.75" customHeight="1" x14ac:dyDescent="0.2">
      <c r="A17" s="49" t="str">
        <f>A55</f>
        <v>1.1. Coletor Turno Dia</v>
      </c>
      <c r="B17" s="45"/>
      <c r="C17" s="47"/>
      <c r="D17" s="47"/>
      <c r="E17" s="253">
        <f>F66</f>
        <v>6356.4802337388792</v>
      </c>
      <c r="F17" s="58">
        <f>IFERROR(E17/$E$36,0)</f>
        <v>0.35729936099311022</v>
      </c>
      <c r="G17" s="6"/>
    </row>
    <row r="18" spans="1:7" s="4" customFormat="1" ht="15.75" customHeight="1" x14ac:dyDescent="0.2">
      <c r="A18" s="49" t="str">
        <f>A68</f>
        <v>1.2. Coletor Turno Noite</v>
      </c>
      <c r="B18" s="45"/>
      <c r="C18" s="47"/>
      <c r="D18" s="47"/>
      <c r="E18" s="253">
        <f>F85</f>
        <v>0</v>
      </c>
      <c r="F18" s="58">
        <f t="shared" ref="F18:F35" si="0">IFERROR(E18/$E$36,0)</f>
        <v>0</v>
      </c>
      <c r="G18" s="6"/>
    </row>
    <row r="19" spans="1:7" s="4" customFormat="1" ht="15.75" customHeight="1" x14ac:dyDescent="0.2">
      <c r="A19" s="49" t="str">
        <f>A87</f>
        <v>1.3. Motorista Turno do Dia</v>
      </c>
      <c r="B19" s="45"/>
      <c r="C19" s="47"/>
      <c r="D19" s="47"/>
      <c r="E19" s="253">
        <f>F100</f>
        <v>3714.6859117715194</v>
      </c>
      <c r="F19" s="58">
        <f t="shared" si="0"/>
        <v>0.20880343425301301</v>
      </c>
      <c r="G19" s="6"/>
    </row>
    <row r="20" spans="1:7" s="4" customFormat="1" ht="15.75" customHeight="1" x14ac:dyDescent="0.2">
      <c r="A20" s="49" t="str">
        <f>A102</f>
        <v>1.4. Motorista Turno Noite</v>
      </c>
      <c r="B20" s="45"/>
      <c r="C20" s="47"/>
      <c r="D20" s="47"/>
      <c r="E20" s="253">
        <f>F121</f>
        <v>0</v>
      </c>
      <c r="F20" s="58">
        <f t="shared" si="0"/>
        <v>0</v>
      </c>
      <c r="G20" s="6"/>
    </row>
    <row r="21" spans="1:7" s="4" customFormat="1" ht="15.75" customHeight="1" x14ac:dyDescent="0.2">
      <c r="A21" s="49" t="str">
        <f>A123</f>
        <v>1.5. Vale Transporte</v>
      </c>
      <c r="B21" s="45"/>
      <c r="C21" s="47"/>
      <c r="D21" s="47"/>
      <c r="E21" s="253">
        <f>F129</f>
        <v>-175.15938461538457</v>
      </c>
      <c r="F21" s="58">
        <f t="shared" si="0"/>
        <v>-9.8457532932830719E-3</v>
      </c>
      <c r="G21" s="6"/>
    </row>
    <row r="22" spans="1:7" s="4" customFormat="1" ht="15.75" customHeight="1" x14ac:dyDescent="0.2">
      <c r="A22" s="49" t="str">
        <f>A131</f>
        <v>1.6. Vale-refeição (diário)</v>
      </c>
      <c r="B22" s="45"/>
      <c r="C22" s="47"/>
      <c r="D22" s="47"/>
      <c r="E22" s="253">
        <f>F135</f>
        <v>837.36</v>
      </c>
      <c r="F22" s="58">
        <f t="shared" si="0"/>
        <v>4.7068217302582309E-2</v>
      </c>
      <c r="G22" s="6"/>
    </row>
    <row r="23" spans="1:7" s="4" customFormat="1" ht="15.75" customHeight="1" x14ac:dyDescent="0.2">
      <c r="A23" s="49" t="str">
        <f>A137</f>
        <v>1.7. Auxílio Alimentação (mensal)</v>
      </c>
      <c r="B23" s="45"/>
      <c r="C23" s="47"/>
      <c r="D23" s="47"/>
      <c r="E23" s="253">
        <f>F141</f>
        <v>88.75</v>
      </c>
      <c r="F23" s="58">
        <f t="shared" si="0"/>
        <v>4.9886599379050586E-3</v>
      </c>
      <c r="G23" s="6"/>
    </row>
    <row r="24" spans="1:7" s="11" customFormat="1" ht="15.75" customHeight="1" x14ac:dyDescent="0.2">
      <c r="A24" s="314" t="str">
        <f>A145</f>
        <v>2. Uniformes e Equipamentos de Proteção Individual</v>
      </c>
      <c r="B24" s="315"/>
      <c r="C24" s="315"/>
      <c r="D24" s="128"/>
      <c r="E24" s="252">
        <f>+F177</f>
        <v>746.16666666666674</v>
      </c>
      <c r="F24" s="129">
        <f t="shared" si="0"/>
        <v>4.194221698028347E-2</v>
      </c>
      <c r="G24" s="44"/>
    </row>
    <row r="25" spans="1:7" s="11" customFormat="1" ht="15.75" customHeight="1" x14ac:dyDescent="0.2">
      <c r="A25" s="137" t="str">
        <f>A179</f>
        <v>3. Veículos e Equipamentos</v>
      </c>
      <c r="B25" s="138"/>
      <c r="C25" s="128"/>
      <c r="D25" s="128"/>
      <c r="E25" s="252">
        <f>+F256</f>
        <v>2472.333333333333</v>
      </c>
      <c r="F25" s="129">
        <f t="shared" si="0"/>
        <v>0.13897048172560306</v>
      </c>
      <c r="G25" s="44"/>
    </row>
    <row r="26" spans="1:7" s="4" customFormat="1" ht="15.75" customHeight="1" x14ac:dyDescent="0.2">
      <c r="A26" s="65" t="str">
        <f>A181</f>
        <v xml:space="preserve">3.1. Veículo Coletor  </v>
      </c>
      <c r="B26" s="46"/>
      <c r="C26" s="47"/>
      <c r="D26" s="47"/>
      <c r="E26" s="253">
        <f>SUM(E27:E32)</f>
        <v>2472.333333333333</v>
      </c>
      <c r="F26" s="144">
        <f t="shared" si="0"/>
        <v>0.13897048172560306</v>
      </c>
      <c r="G26" s="6"/>
    </row>
    <row r="27" spans="1:7" s="4" customFormat="1" ht="15.75" customHeight="1" x14ac:dyDescent="0.2">
      <c r="A27" s="65" t="str">
        <f>A183</f>
        <v>3.1.1. Depreciação</v>
      </c>
      <c r="B27" s="46"/>
      <c r="C27" s="47"/>
      <c r="D27" s="47"/>
      <c r="E27" s="253">
        <f>F197</f>
        <v>1391.9999999999998</v>
      </c>
      <c r="F27" s="144">
        <f t="shared" si="0"/>
        <v>7.8244671927479886E-2</v>
      </c>
      <c r="G27" s="6"/>
    </row>
    <row r="28" spans="1:7" s="4" customFormat="1" ht="15.75" customHeight="1" x14ac:dyDescent="0.2">
      <c r="A28" s="65" t="str">
        <f>A199</f>
        <v>3.1.2. Remuneração do Capital</v>
      </c>
      <c r="B28" s="46"/>
      <c r="C28" s="47"/>
      <c r="D28" s="47"/>
      <c r="E28" s="253">
        <f>F213</f>
        <v>110.79999999999998</v>
      </c>
      <c r="F28" s="144">
        <f t="shared" si="0"/>
        <v>6.2280960126183706E-3</v>
      </c>
      <c r="G28" s="6"/>
    </row>
    <row r="29" spans="1:7" s="4" customFormat="1" ht="15.75" customHeight="1" x14ac:dyDescent="0.2">
      <c r="A29" s="65" t="str">
        <f>A215</f>
        <v>3.1.3. Impostos e Seguros</v>
      </c>
      <c r="B29" s="46"/>
      <c r="C29" s="47"/>
      <c r="D29" s="47"/>
      <c r="E29" s="253">
        <f>F221</f>
        <v>268.33333333333331</v>
      </c>
      <c r="F29" s="144">
        <f t="shared" si="0"/>
        <v>1.5083084507093227E-2</v>
      </c>
      <c r="G29" s="6"/>
    </row>
    <row r="30" spans="1:7" s="4" customFormat="1" ht="15.75" customHeight="1" x14ac:dyDescent="0.2">
      <c r="A30" s="65" t="str">
        <f>A223</f>
        <v>3.1.4. Consumos</v>
      </c>
      <c r="B30" s="46"/>
      <c r="C30" s="47"/>
      <c r="D30" s="47"/>
      <c r="E30" s="253">
        <f>F239</f>
        <v>422.63999999999993</v>
      </c>
      <c r="F30" s="144">
        <f t="shared" si="0"/>
        <v>2.3756701252464152E-2</v>
      </c>
      <c r="G30" s="6"/>
    </row>
    <row r="31" spans="1:7" s="4" customFormat="1" ht="15.75" customHeight="1" x14ac:dyDescent="0.2">
      <c r="A31" s="65" t="str">
        <f>A241</f>
        <v>3.1.5. Manutenção</v>
      </c>
      <c r="B31" s="46"/>
      <c r="C31" s="47"/>
      <c r="D31" s="47"/>
      <c r="E31" s="253">
        <f>F244</f>
        <v>225.99999999999997</v>
      </c>
      <c r="F31" s="144">
        <f t="shared" si="0"/>
        <v>1.270351713765119E-2</v>
      </c>
      <c r="G31" s="6"/>
    </row>
    <row r="32" spans="1:7" s="4" customFormat="1" ht="15.75" customHeight="1" x14ac:dyDescent="0.2">
      <c r="A32" s="65" t="str">
        <f>A246</f>
        <v>3.1.6. Pneus</v>
      </c>
      <c r="B32" s="46"/>
      <c r="C32" s="47"/>
      <c r="D32" s="47"/>
      <c r="E32" s="253">
        <f>F253</f>
        <v>52.559999999999995</v>
      </c>
      <c r="F32" s="144">
        <f t="shared" si="0"/>
        <v>2.9544108882962237E-3</v>
      </c>
      <c r="G32" s="6"/>
    </row>
    <row r="33" spans="1:7" s="11" customFormat="1" ht="15.75" customHeight="1" x14ac:dyDescent="0.2">
      <c r="A33" s="137" t="str">
        <f>A258</f>
        <v>4. Ferramentas e Materiais de Consumo</v>
      </c>
      <c r="B33" s="138"/>
      <c r="C33" s="128"/>
      <c r="D33" s="128"/>
      <c r="E33" s="252">
        <f>+F268</f>
        <v>200.79166666666666</v>
      </c>
      <c r="F33" s="129">
        <f t="shared" si="0"/>
        <v>1.1286550347776749E-2</v>
      </c>
      <c r="G33" s="44"/>
    </row>
    <row r="34" spans="1:7" s="11" customFormat="1" ht="15.75" customHeight="1" x14ac:dyDescent="0.2">
      <c r="A34" s="137" t="str">
        <f>A270</f>
        <v>5. Monitoramento da Frota</v>
      </c>
      <c r="B34" s="138"/>
      <c r="C34" s="128"/>
      <c r="D34" s="128"/>
      <c r="E34" s="252">
        <f>+F279</f>
        <v>103.33333333333333</v>
      </c>
      <c r="F34" s="129">
        <f t="shared" si="0"/>
        <v>5.8083927915514293E-3</v>
      </c>
      <c r="G34" s="44"/>
    </row>
    <row r="35" spans="1:7" s="11" customFormat="1" ht="15.75" customHeight="1" thickBot="1" x14ac:dyDescent="0.25">
      <c r="A35" s="137" t="str">
        <f>A283</f>
        <v>6. Benefícios e Despesas Indiretas - BDI</v>
      </c>
      <c r="B35" s="138"/>
      <c r="C35" s="128"/>
      <c r="D35" s="128"/>
      <c r="E35" s="254">
        <f>+F289</f>
        <v>3445.6069709669823</v>
      </c>
      <c r="F35" s="129">
        <f t="shared" si="0"/>
        <v>0.19367843896145784</v>
      </c>
      <c r="G35" s="44"/>
    </row>
    <row r="36" spans="1:7" s="4" customFormat="1" ht="15.75" customHeight="1" thickBot="1" x14ac:dyDescent="0.25">
      <c r="A36" s="42" t="s">
        <v>243</v>
      </c>
      <c r="B36" s="43"/>
      <c r="C36" s="26"/>
      <c r="D36" s="26"/>
      <c r="E36" s="115">
        <f>E16+E24+E25+E33+E34+E35</f>
        <v>17790.348731861995</v>
      </c>
      <c r="F36" s="143">
        <f>F16+F24+F25+F33+F34+F35</f>
        <v>1</v>
      </c>
      <c r="G36" s="6"/>
    </row>
    <row r="38" spans="1:7" ht="13.5" thickBot="1" x14ac:dyDescent="0.25"/>
    <row r="39" spans="1:7" s="4" customFormat="1" ht="15" customHeight="1" thickBot="1" x14ac:dyDescent="0.25">
      <c r="A39" s="325" t="s">
        <v>100</v>
      </c>
      <c r="B39" s="326"/>
      <c r="C39" s="326"/>
      <c r="D39" s="326"/>
      <c r="E39" s="327"/>
      <c r="F39" s="10"/>
      <c r="G39" s="6"/>
    </row>
    <row r="40" spans="1:7" s="4" customFormat="1" ht="15" customHeight="1" thickBot="1" x14ac:dyDescent="0.25">
      <c r="A40" s="322" t="s">
        <v>39</v>
      </c>
      <c r="B40" s="323"/>
      <c r="C40" s="323"/>
      <c r="D40" s="324"/>
      <c r="E40" s="48" t="s">
        <v>40</v>
      </c>
      <c r="F40" s="10"/>
      <c r="G40" s="6"/>
    </row>
    <row r="41" spans="1:7" s="4" customFormat="1" ht="15" customHeight="1" x14ac:dyDescent="0.2">
      <c r="A41" s="73" t="str">
        <f>+A55</f>
        <v>1.1. Coletor Turno Dia</v>
      </c>
      <c r="B41" s="74"/>
      <c r="C41" s="74"/>
      <c r="D41" s="75"/>
      <c r="E41" s="76">
        <f>C65</f>
        <v>2</v>
      </c>
      <c r="F41" s="10"/>
      <c r="G41" s="6"/>
    </row>
    <row r="42" spans="1:7" s="4" customFormat="1" ht="15" customHeight="1" x14ac:dyDescent="0.2">
      <c r="A42" s="67" t="str">
        <f>+A68</f>
        <v>1.2. Coletor Turno Noite</v>
      </c>
      <c r="B42" s="66"/>
      <c r="C42" s="66"/>
      <c r="D42" s="77"/>
      <c r="E42" s="70">
        <f>C84</f>
        <v>0</v>
      </c>
      <c r="F42" s="10"/>
      <c r="G42" s="6"/>
    </row>
    <row r="43" spans="1:7" s="4" customFormat="1" ht="15" customHeight="1" x14ac:dyDescent="0.2">
      <c r="A43" s="67" t="str">
        <f>+A87</f>
        <v>1.3. Motorista Turno do Dia</v>
      </c>
      <c r="B43" s="66"/>
      <c r="C43" s="66"/>
      <c r="D43" s="77"/>
      <c r="E43" s="70">
        <f>C99</f>
        <v>1</v>
      </c>
      <c r="F43" s="10"/>
      <c r="G43" s="6"/>
    </row>
    <row r="44" spans="1:7" s="4" customFormat="1" ht="15" customHeight="1" x14ac:dyDescent="0.2">
      <c r="A44" s="67" t="str">
        <f>+A102</f>
        <v>1.4. Motorista Turno Noite</v>
      </c>
      <c r="B44" s="66"/>
      <c r="C44" s="66"/>
      <c r="D44" s="77"/>
      <c r="E44" s="70">
        <f>C120</f>
        <v>0</v>
      </c>
      <c r="F44" s="10"/>
      <c r="G44" s="6"/>
    </row>
    <row r="45" spans="1:7" s="4" customFormat="1" ht="15" customHeight="1" thickBot="1" x14ac:dyDescent="0.25">
      <c r="A45" s="71" t="s">
        <v>59</v>
      </c>
      <c r="B45" s="72"/>
      <c r="C45" s="72"/>
      <c r="D45" s="78"/>
      <c r="E45" s="79">
        <f>SUM(E41:E44)</f>
        <v>3</v>
      </c>
      <c r="F45" s="10"/>
      <c r="G45" s="6"/>
    </row>
    <row r="46" spans="1:7" s="4" customFormat="1" ht="15" customHeight="1" thickBot="1" x14ac:dyDescent="0.25">
      <c r="A46" s="130"/>
      <c r="B46" s="131"/>
      <c r="C46" s="59"/>
      <c r="D46" s="59"/>
      <c r="E46" s="132"/>
      <c r="F46" s="10"/>
      <c r="G46" s="6"/>
    </row>
    <row r="47" spans="1:7" s="4" customFormat="1" ht="15" customHeight="1" x14ac:dyDescent="0.2">
      <c r="A47" s="312" t="s">
        <v>56</v>
      </c>
      <c r="B47" s="313"/>
      <c r="C47" s="313"/>
      <c r="D47" s="313"/>
      <c r="E47" s="48" t="s">
        <v>40</v>
      </c>
      <c r="F47" s="9"/>
      <c r="G47" s="6"/>
    </row>
    <row r="48" spans="1:7" s="4" customFormat="1" ht="15" customHeight="1" thickBot="1" x14ac:dyDescent="0.25">
      <c r="A48" s="133" t="str">
        <f>+A181</f>
        <v xml:space="preserve">3.1. Veículo Coletor  </v>
      </c>
      <c r="B48" s="134"/>
      <c r="C48" s="134"/>
      <c r="D48" s="135"/>
      <c r="E48" s="136">
        <f>C196</f>
        <v>1</v>
      </c>
      <c r="F48" s="9"/>
      <c r="G48" s="6"/>
    </row>
    <row r="49" spans="1:7" s="4" customFormat="1" ht="15" customHeight="1" x14ac:dyDescent="0.2">
      <c r="A49" s="59"/>
      <c r="B49" s="59"/>
      <c r="C49" s="59"/>
      <c r="D49" s="54"/>
      <c r="E49" s="251"/>
      <c r="F49" s="9"/>
      <c r="G49" s="6"/>
    </row>
    <row r="50" spans="1:7" s="4" customFormat="1" ht="13.5" thickBot="1" x14ac:dyDescent="0.25">
      <c r="A50" s="59"/>
      <c r="B50" s="59"/>
      <c r="C50" s="59"/>
      <c r="D50" s="54"/>
      <c r="E50" s="68"/>
      <c r="F50" s="9"/>
      <c r="G50" s="6"/>
    </row>
    <row r="51" spans="1:7" s="11" customFormat="1" ht="15.75" customHeight="1" thickBot="1" x14ac:dyDescent="0.25">
      <c r="A51" s="256" t="s">
        <v>202</v>
      </c>
      <c r="B51" s="257">
        <v>1</v>
      </c>
      <c r="C51" s="35"/>
      <c r="D51" s="34"/>
      <c r="E51" s="156"/>
      <c r="G51" s="44"/>
    </row>
    <row r="52" spans="1:7" s="4" customFormat="1" ht="15.75" customHeight="1" x14ac:dyDescent="0.2">
      <c r="A52" s="59"/>
      <c r="B52" s="59"/>
      <c r="C52" s="59"/>
      <c r="D52" s="54"/>
      <c r="E52" s="68"/>
      <c r="F52" s="9"/>
      <c r="G52" s="6"/>
    </row>
    <row r="53" spans="1:7" ht="13.15" customHeight="1" x14ac:dyDescent="0.2">
      <c r="A53" s="11" t="s">
        <v>47</v>
      </c>
    </row>
    <row r="54" spans="1:7" ht="11.25" customHeight="1" x14ac:dyDescent="0.2"/>
    <row r="55" spans="1:7" ht="13.9" customHeight="1" thickBot="1" x14ac:dyDescent="0.25">
      <c r="A55" s="9" t="s">
        <v>103</v>
      </c>
    </row>
    <row r="56" spans="1:7" ht="13.9" customHeight="1" thickBot="1" x14ac:dyDescent="0.25">
      <c r="A56" s="60" t="s">
        <v>64</v>
      </c>
      <c r="B56" s="61" t="s">
        <v>65</v>
      </c>
      <c r="C56" s="61" t="s">
        <v>40</v>
      </c>
      <c r="D56" s="62" t="s">
        <v>239</v>
      </c>
      <c r="E56" s="62" t="s">
        <v>66</v>
      </c>
      <c r="F56" s="63" t="s">
        <v>67</v>
      </c>
    </row>
    <row r="57" spans="1:7" ht="13.15" customHeight="1" x14ac:dyDescent="0.2">
      <c r="A57" s="13" t="s">
        <v>216</v>
      </c>
      <c r="B57" s="14" t="s">
        <v>8</v>
      </c>
      <c r="C57" s="14">
        <v>1</v>
      </c>
      <c r="D57" s="87">
        <v>1330.73</v>
      </c>
      <c r="E57" s="15">
        <f>C57*D57</f>
        <v>1330.73</v>
      </c>
    </row>
    <row r="58" spans="1:7" x14ac:dyDescent="0.2">
      <c r="A58" s="16" t="s">
        <v>34</v>
      </c>
      <c r="B58" s="17" t="s">
        <v>0</v>
      </c>
      <c r="C58" s="88">
        <v>0</v>
      </c>
      <c r="D58" s="18">
        <f>D57/220*2</f>
        <v>12.097545454545454</v>
      </c>
      <c r="E58" s="18">
        <f>C58*D58</f>
        <v>0</v>
      </c>
      <c r="G58" s="10" t="s">
        <v>252</v>
      </c>
    </row>
    <row r="59" spans="1:7" ht="13.15" customHeight="1" x14ac:dyDescent="0.2">
      <c r="A59" s="16" t="s">
        <v>35</v>
      </c>
      <c r="B59" s="17" t="s">
        <v>0</v>
      </c>
      <c r="C59" s="88">
        <v>0</v>
      </c>
      <c r="D59" s="18">
        <f>D57/220*1.5</f>
        <v>9.0731590909090905</v>
      </c>
      <c r="E59" s="18">
        <f>C59*D59</f>
        <v>0</v>
      </c>
      <c r="G59" s="10" t="s">
        <v>254</v>
      </c>
    </row>
    <row r="60" spans="1:7" ht="13.15" customHeight="1" x14ac:dyDescent="0.2">
      <c r="A60" s="16" t="s">
        <v>220</v>
      </c>
      <c r="B60" s="17" t="s">
        <v>33</v>
      </c>
      <c r="D60" s="18">
        <f>63/302*(SUM(E58:E59))</f>
        <v>0</v>
      </c>
      <c r="E60" s="18">
        <f>D60</f>
        <v>0</v>
      </c>
      <c r="G60" s="10" t="s">
        <v>219</v>
      </c>
    </row>
    <row r="61" spans="1:7" x14ac:dyDescent="0.2">
      <c r="A61" s="16" t="s">
        <v>1</v>
      </c>
      <c r="B61" s="17" t="s">
        <v>2</v>
      </c>
      <c r="C61" s="17">
        <v>40</v>
      </c>
      <c r="D61" s="83">
        <f>SUM(E57:E60)</f>
        <v>1330.73</v>
      </c>
      <c r="E61" s="18">
        <f>C61*D61/100</f>
        <v>532.29199999999992</v>
      </c>
    </row>
    <row r="62" spans="1:7" x14ac:dyDescent="0.2">
      <c r="A62" s="117" t="s">
        <v>3</v>
      </c>
      <c r="B62" s="118"/>
      <c r="C62" s="118"/>
      <c r="D62" s="119"/>
      <c r="E62" s="120">
        <f>SUM(E57:E61)</f>
        <v>1863.0219999999999</v>
      </c>
    </row>
    <row r="63" spans="1:7" x14ac:dyDescent="0.2">
      <c r="A63" s="16" t="s">
        <v>4</v>
      </c>
      <c r="B63" s="17" t="s">
        <v>2</v>
      </c>
      <c r="C63" s="141">
        <f>'2.Encargos Sociais'!$C$37*100</f>
        <v>70.595951999999997</v>
      </c>
      <c r="D63" s="18">
        <f>E62</f>
        <v>1863.0219999999999</v>
      </c>
      <c r="E63" s="18">
        <f>D63*C63/100</f>
        <v>1315.2181168694399</v>
      </c>
    </row>
    <row r="64" spans="1:7" x14ac:dyDescent="0.2">
      <c r="A64" s="117" t="s">
        <v>73</v>
      </c>
      <c r="B64" s="118"/>
      <c r="C64" s="118"/>
      <c r="D64" s="119"/>
      <c r="E64" s="120">
        <f>E62+E63</f>
        <v>3178.2401168694396</v>
      </c>
    </row>
    <row r="65" spans="1:7" ht="13.5" thickBot="1" x14ac:dyDescent="0.25">
      <c r="A65" s="16" t="s">
        <v>5</v>
      </c>
      <c r="B65" s="17" t="s">
        <v>6</v>
      </c>
      <c r="C65" s="86">
        <v>2</v>
      </c>
      <c r="D65" s="18">
        <f>E64</f>
        <v>3178.2401168694396</v>
      </c>
      <c r="E65" s="18">
        <f>C65*D65</f>
        <v>6356.4802337388792</v>
      </c>
      <c r="G65" s="6"/>
    </row>
    <row r="66" spans="1:7" ht="13.9" customHeight="1" thickBot="1" x14ac:dyDescent="0.25">
      <c r="D66" s="124" t="s">
        <v>201</v>
      </c>
      <c r="E66" s="50">
        <f>$B$51</f>
        <v>1</v>
      </c>
      <c r="F66" s="125">
        <f>E65*E66</f>
        <v>6356.4802337388792</v>
      </c>
      <c r="G66" s="6"/>
    </row>
    <row r="67" spans="1:7" ht="11.25" customHeight="1" x14ac:dyDescent="0.2"/>
    <row r="68" spans="1:7" ht="13.5" thickBot="1" x14ac:dyDescent="0.25">
      <c r="A68" s="9" t="s">
        <v>92</v>
      </c>
    </row>
    <row r="69" spans="1:7" ht="13.5" thickBot="1" x14ac:dyDescent="0.25">
      <c r="A69" s="60" t="s">
        <v>64</v>
      </c>
      <c r="B69" s="61" t="s">
        <v>65</v>
      </c>
      <c r="C69" s="61" t="s">
        <v>40</v>
      </c>
      <c r="D69" s="62" t="s">
        <v>239</v>
      </c>
      <c r="E69" s="62" t="s">
        <v>66</v>
      </c>
      <c r="F69" s="63" t="s">
        <v>67</v>
      </c>
    </row>
    <row r="70" spans="1:7" x14ac:dyDescent="0.2">
      <c r="A70" s="13" t="s">
        <v>216</v>
      </c>
      <c r="B70" s="14" t="s">
        <v>8</v>
      </c>
      <c r="C70" s="14">
        <v>1</v>
      </c>
      <c r="D70" s="15">
        <f>D57</f>
        <v>1330.73</v>
      </c>
      <c r="E70" s="15">
        <f>C70*D70</f>
        <v>1330.73</v>
      </c>
    </row>
    <row r="71" spans="1:7" x14ac:dyDescent="0.2">
      <c r="A71" s="16" t="s">
        <v>7</v>
      </c>
      <c r="B71" s="17" t="s">
        <v>101</v>
      </c>
      <c r="C71" s="88"/>
      <c r="D71" s="18"/>
      <c r="E71" s="18"/>
    </row>
    <row r="72" spans="1:7" x14ac:dyDescent="0.2">
      <c r="A72" s="16"/>
      <c r="B72" s="17" t="s">
        <v>106</v>
      </c>
      <c r="C72" s="121">
        <f>C71*8/7</f>
        <v>0</v>
      </c>
      <c r="D72" s="18">
        <f>D70/220*0.2</f>
        <v>1.2097545454545455</v>
      </c>
      <c r="E72" s="18">
        <f>C72*D72</f>
        <v>0</v>
      </c>
    </row>
    <row r="73" spans="1:7" x14ac:dyDescent="0.2">
      <c r="A73" s="16" t="s">
        <v>34</v>
      </c>
      <c r="B73" s="17" t="s">
        <v>0</v>
      </c>
      <c r="C73" s="88"/>
      <c r="D73" s="18">
        <f>D70/220*2</f>
        <v>12.097545454545454</v>
      </c>
      <c r="E73" s="18">
        <f>C73*D73</f>
        <v>0</v>
      </c>
      <c r="G73" s="10" t="s">
        <v>252</v>
      </c>
    </row>
    <row r="74" spans="1:7" x14ac:dyDescent="0.2">
      <c r="A74" s="16" t="s">
        <v>102</v>
      </c>
      <c r="B74" s="17" t="s">
        <v>101</v>
      </c>
      <c r="C74" s="88"/>
      <c r="D74" s="18"/>
      <c r="E74" s="18"/>
      <c r="G74" s="10" t="s">
        <v>253</v>
      </c>
    </row>
    <row r="75" spans="1:7" x14ac:dyDescent="0.2">
      <c r="A75" s="16"/>
      <c r="B75" s="17" t="s">
        <v>106</v>
      </c>
      <c r="C75" s="121">
        <f>C74*8/7</f>
        <v>0</v>
      </c>
      <c r="D75" s="18">
        <f>D70/220*2*1.2</f>
        <v>14.517054545454544</v>
      </c>
      <c r="E75" s="18">
        <f>C75*D75</f>
        <v>0</v>
      </c>
      <c r="G75" s="10" t="s">
        <v>253</v>
      </c>
    </row>
    <row r="76" spans="1:7" x14ac:dyDescent="0.2">
      <c r="A76" s="16" t="s">
        <v>35</v>
      </c>
      <c r="B76" s="17" t="s">
        <v>0</v>
      </c>
      <c r="C76" s="88"/>
      <c r="D76" s="18">
        <f>D70/220*1.5</f>
        <v>9.0731590909090905</v>
      </c>
      <c r="E76" s="18">
        <f>C76*D76</f>
        <v>0</v>
      </c>
      <c r="G76" s="10" t="s">
        <v>254</v>
      </c>
    </row>
    <row r="77" spans="1:7" x14ac:dyDescent="0.2">
      <c r="A77" s="16" t="s">
        <v>218</v>
      </c>
      <c r="B77" s="17" t="s">
        <v>101</v>
      </c>
      <c r="C77" s="88"/>
      <c r="D77" s="18"/>
      <c r="E77" s="18"/>
      <c r="G77" s="10" t="s">
        <v>255</v>
      </c>
    </row>
    <row r="78" spans="1:7" x14ac:dyDescent="0.2">
      <c r="A78" s="16"/>
      <c r="B78" s="17" t="s">
        <v>106</v>
      </c>
      <c r="C78" s="18">
        <f>C77*8/7</f>
        <v>0</v>
      </c>
      <c r="D78" s="18">
        <f>D70/220*1.5*1.2</f>
        <v>10.887790909090908</v>
      </c>
      <c r="E78" s="18">
        <f>C78*D78</f>
        <v>0</v>
      </c>
      <c r="G78" s="10" t="s">
        <v>255</v>
      </c>
    </row>
    <row r="79" spans="1:7" ht="13.15" customHeight="1" x14ac:dyDescent="0.2">
      <c r="A79" s="16" t="s">
        <v>220</v>
      </c>
      <c r="B79" s="17" t="s">
        <v>33</v>
      </c>
      <c r="D79" s="18">
        <f>63/302*(SUM(E73:E78))</f>
        <v>0</v>
      </c>
      <c r="E79" s="18">
        <f>D79</f>
        <v>0</v>
      </c>
      <c r="G79" s="10" t="s">
        <v>219</v>
      </c>
    </row>
    <row r="80" spans="1:7" x14ac:dyDescent="0.2">
      <c r="A80" s="16" t="s">
        <v>1</v>
      </c>
      <c r="B80" s="17" t="s">
        <v>2</v>
      </c>
      <c r="C80" s="17">
        <f>+C61</f>
        <v>40</v>
      </c>
      <c r="D80" s="83">
        <f>SUM(E70:E79)</f>
        <v>1330.73</v>
      </c>
      <c r="E80" s="18">
        <f>C80*D80/100</f>
        <v>532.29199999999992</v>
      </c>
    </row>
    <row r="81" spans="1:7" x14ac:dyDescent="0.2">
      <c r="A81" s="117" t="s">
        <v>3</v>
      </c>
      <c r="B81" s="118"/>
      <c r="C81" s="118"/>
      <c r="D81" s="119"/>
      <c r="E81" s="120">
        <f>SUM(E70:E80)</f>
        <v>1863.0219999999999</v>
      </c>
    </row>
    <row r="82" spans="1:7" x14ac:dyDescent="0.2">
      <c r="A82" s="16" t="s">
        <v>4</v>
      </c>
      <c r="B82" s="17" t="s">
        <v>2</v>
      </c>
      <c r="C82" s="141">
        <f>'2.Encargos Sociais'!$C$37*100</f>
        <v>70.595951999999997</v>
      </c>
      <c r="D82" s="18">
        <f>E81</f>
        <v>1863.0219999999999</v>
      </c>
      <c r="E82" s="18">
        <f>D82*C82/100</f>
        <v>1315.2181168694399</v>
      </c>
    </row>
    <row r="83" spans="1:7" x14ac:dyDescent="0.2">
      <c r="A83" s="117" t="s">
        <v>73</v>
      </c>
      <c r="B83" s="118"/>
      <c r="C83" s="118"/>
      <c r="D83" s="119"/>
      <c r="E83" s="120">
        <f>E81+E82</f>
        <v>3178.2401168694396</v>
      </c>
    </row>
    <row r="84" spans="1:7" ht="13.5" thickBot="1" x14ac:dyDescent="0.25">
      <c r="A84" s="16" t="s">
        <v>5</v>
      </c>
      <c r="B84" s="17" t="s">
        <v>6</v>
      </c>
      <c r="C84" s="86"/>
      <c r="D84" s="18">
        <f>E83</f>
        <v>3178.2401168694396</v>
      </c>
      <c r="E84" s="18">
        <f>C84*D84</f>
        <v>0</v>
      </c>
    </row>
    <row r="85" spans="1:7" ht="13.5" thickBot="1" x14ac:dyDescent="0.25">
      <c r="D85" s="124" t="s">
        <v>201</v>
      </c>
      <c r="E85" s="50">
        <f>$B$51</f>
        <v>1</v>
      </c>
      <c r="F85" s="125">
        <f>E84*E85</f>
        <v>0</v>
      </c>
    </row>
    <row r="86" spans="1:7" ht="11.25" customHeight="1" x14ac:dyDescent="0.2"/>
    <row r="87" spans="1:7" ht="13.5" thickBot="1" x14ac:dyDescent="0.25">
      <c r="A87" s="9" t="s">
        <v>104</v>
      </c>
    </row>
    <row r="88" spans="1:7" s="12" customFormat="1" ht="13.15" customHeight="1" thickBot="1" x14ac:dyDescent="0.25">
      <c r="A88" s="60" t="s">
        <v>64</v>
      </c>
      <c r="B88" s="61" t="s">
        <v>65</v>
      </c>
      <c r="C88" s="61" t="s">
        <v>40</v>
      </c>
      <c r="D88" s="62" t="s">
        <v>239</v>
      </c>
      <c r="E88" s="62" t="s">
        <v>66</v>
      </c>
      <c r="F88" s="63" t="s">
        <v>67</v>
      </c>
      <c r="G88" s="10"/>
    </row>
    <row r="89" spans="1:7" x14ac:dyDescent="0.2">
      <c r="A89" s="304" t="s">
        <v>291</v>
      </c>
      <c r="B89" s="14" t="s">
        <v>8</v>
      </c>
      <c r="C89" s="14">
        <v>1</v>
      </c>
      <c r="D89" s="87">
        <v>1555.34</v>
      </c>
      <c r="E89" s="15">
        <f>C89*D89</f>
        <v>1555.34</v>
      </c>
    </row>
    <row r="90" spans="1:7" x14ac:dyDescent="0.2">
      <c r="A90" s="304" t="s">
        <v>292</v>
      </c>
      <c r="B90" s="14" t="s">
        <v>8</v>
      </c>
      <c r="C90" s="14">
        <v>1</v>
      </c>
      <c r="D90" s="87">
        <v>1045</v>
      </c>
      <c r="E90" s="15"/>
    </row>
    <row r="91" spans="1:7" x14ac:dyDescent="0.2">
      <c r="A91" s="16" t="s">
        <v>34</v>
      </c>
      <c r="B91" s="17" t="s">
        <v>0</v>
      </c>
      <c r="C91" s="88">
        <v>0</v>
      </c>
      <c r="D91" s="18">
        <f>D89/220*2</f>
        <v>14.139454545454544</v>
      </c>
      <c r="E91" s="18">
        <f>C91*D91</f>
        <v>0</v>
      </c>
      <c r="G91" s="10" t="s">
        <v>252</v>
      </c>
    </row>
    <row r="92" spans="1:7" x14ac:dyDescent="0.2">
      <c r="A92" s="16" t="s">
        <v>35</v>
      </c>
      <c r="B92" s="17" t="s">
        <v>0</v>
      </c>
      <c r="C92" s="88">
        <v>0</v>
      </c>
      <c r="D92" s="18">
        <f>D89/220*1.5</f>
        <v>10.604590909090909</v>
      </c>
      <c r="E92" s="18">
        <f>C92*D92</f>
        <v>0</v>
      </c>
      <c r="G92" s="10" t="s">
        <v>254</v>
      </c>
    </row>
    <row r="93" spans="1:7" ht="13.15" customHeight="1" x14ac:dyDescent="0.2">
      <c r="A93" s="16" t="s">
        <v>220</v>
      </c>
      <c r="B93" s="17" t="s">
        <v>33</v>
      </c>
      <c r="D93" s="18">
        <f>63/302*(SUM(E91:E92))</f>
        <v>0</v>
      </c>
      <c r="E93" s="18">
        <f>D93</f>
        <v>0</v>
      </c>
      <c r="G93" s="10" t="s">
        <v>219</v>
      </c>
    </row>
    <row r="94" spans="1:7" x14ac:dyDescent="0.2">
      <c r="A94" s="16" t="s">
        <v>217</v>
      </c>
      <c r="B94" s="17"/>
      <c r="C94" s="90">
        <v>2</v>
      </c>
      <c r="D94" s="18"/>
      <c r="E94" s="18"/>
    </row>
    <row r="95" spans="1:7" x14ac:dyDescent="0.2">
      <c r="A95" s="16" t="s">
        <v>1</v>
      </c>
      <c r="B95" s="17" t="s">
        <v>2</v>
      </c>
      <c r="C95" s="86">
        <v>40</v>
      </c>
      <c r="D95" s="83">
        <f>IF(C94=2,SUM(E89:E93),IF(C94=1,(SUM(E89:E93))*D90/D89,0))</f>
        <v>1555.34</v>
      </c>
      <c r="E95" s="18">
        <f>C95*D95/100</f>
        <v>622.13599999999997</v>
      </c>
    </row>
    <row r="96" spans="1:7" s="11" customFormat="1" x14ac:dyDescent="0.2">
      <c r="A96" s="103" t="s">
        <v>3</v>
      </c>
      <c r="B96" s="118"/>
      <c r="C96" s="118"/>
      <c r="D96" s="119"/>
      <c r="E96" s="105">
        <f>SUM(E89:E95)</f>
        <v>2177.4759999999997</v>
      </c>
      <c r="F96" s="44"/>
      <c r="G96" s="44"/>
    </row>
    <row r="97" spans="1:7" x14ac:dyDescent="0.2">
      <c r="A97" s="16" t="s">
        <v>4</v>
      </c>
      <c r="B97" s="17" t="s">
        <v>2</v>
      </c>
      <c r="C97" s="141">
        <f>'2.Encargos Sociais'!$C$37*100</f>
        <v>70.595951999999997</v>
      </c>
      <c r="D97" s="18">
        <f>E96</f>
        <v>2177.4759999999997</v>
      </c>
      <c r="E97" s="18">
        <f>D97*C97/100</f>
        <v>1537.2099117715197</v>
      </c>
    </row>
    <row r="98" spans="1:7" s="11" customFormat="1" x14ac:dyDescent="0.2">
      <c r="A98" s="103" t="s">
        <v>256</v>
      </c>
      <c r="B98" s="263"/>
      <c r="C98" s="263"/>
      <c r="D98" s="264"/>
      <c r="E98" s="105">
        <f>E96+E97</f>
        <v>3714.6859117715194</v>
      </c>
      <c r="F98" s="44"/>
      <c r="G98" s="44"/>
    </row>
    <row r="99" spans="1:7" ht="13.5" thickBot="1" x14ac:dyDescent="0.25">
      <c r="A99" s="16" t="s">
        <v>5</v>
      </c>
      <c r="B99" s="17" t="s">
        <v>6</v>
      </c>
      <c r="C99" s="86">
        <v>1</v>
      </c>
      <c r="D99" s="18">
        <f>E98</f>
        <v>3714.6859117715194</v>
      </c>
      <c r="E99" s="18">
        <f>C99*D99</f>
        <v>3714.6859117715194</v>
      </c>
    </row>
    <row r="100" spans="1:7" ht="13.5" thickBot="1" x14ac:dyDescent="0.25">
      <c r="D100" s="124" t="s">
        <v>201</v>
      </c>
      <c r="E100" s="50">
        <f>$B$51</f>
        <v>1</v>
      </c>
      <c r="F100" s="125">
        <f>E99*E100</f>
        <v>3714.6859117715194</v>
      </c>
    </row>
    <row r="101" spans="1:7" ht="11.25" customHeight="1" x14ac:dyDescent="0.2"/>
    <row r="102" spans="1:7" ht="13.5" thickBot="1" x14ac:dyDescent="0.25">
      <c r="A102" s="9" t="s">
        <v>105</v>
      </c>
    </row>
    <row r="103" spans="1:7" ht="13.5" thickBot="1" x14ac:dyDescent="0.25">
      <c r="A103" s="60" t="s">
        <v>64</v>
      </c>
      <c r="B103" s="61" t="s">
        <v>65</v>
      </c>
      <c r="C103" s="61" t="s">
        <v>40</v>
      </c>
      <c r="D103" s="62" t="s">
        <v>239</v>
      </c>
      <c r="E103" s="62" t="s">
        <v>66</v>
      </c>
      <c r="F103" s="63" t="s">
        <v>67</v>
      </c>
    </row>
    <row r="104" spans="1:7" x14ac:dyDescent="0.2">
      <c r="A104" s="304" t="s">
        <v>291</v>
      </c>
      <c r="B104" s="14" t="s">
        <v>8</v>
      </c>
      <c r="C104" s="14">
        <v>1</v>
      </c>
      <c r="D104" s="15">
        <f>D89</f>
        <v>1555.34</v>
      </c>
      <c r="E104" s="15">
        <f>C104*D104</f>
        <v>1555.34</v>
      </c>
    </row>
    <row r="105" spans="1:7" x14ac:dyDescent="0.2">
      <c r="A105" s="304" t="s">
        <v>292</v>
      </c>
      <c r="B105" s="14" t="s">
        <v>8</v>
      </c>
      <c r="C105" s="14">
        <v>1</v>
      </c>
      <c r="D105" s="18">
        <f>D90</f>
        <v>1045</v>
      </c>
      <c r="E105" s="18"/>
    </row>
    <row r="106" spans="1:7" x14ac:dyDescent="0.2">
      <c r="A106" s="16" t="s">
        <v>7</v>
      </c>
      <c r="B106" s="17" t="s">
        <v>101</v>
      </c>
      <c r="C106" s="88"/>
      <c r="D106" s="16"/>
      <c r="E106" s="16"/>
    </row>
    <row r="107" spans="1:7" x14ac:dyDescent="0.2">
      <c r="A107" s="16"/>
      <c r="B107" s="17" t="s">
        <v>106</v>
      </c>
      <c r="C107" s="18">
        <f>C106*8/7</f>
        <v>0</v>
      </c>
      <c r="D107" s="18">
        <f>D104/220*0.2</f>
        <v>1.4139454545454546</v>
      </c>
      <c r="E107" s="18">
        <f>C107*D107</f>
        <v>0</v>
      </c>
    </row>
    <row r="108" spans="1:7" x14ac:dyDescent="0.2">
      <c r="A108" s="16" t="s">
        <v>34</v>
      </c>
      <c r="B108" s="17" t="s">
        <v>0</v>
      </c>
      <c r="C108" s="88"/>
      <c r="D108" s="18">
        <f>D104/220*2</f>
        <v>14.139454545454544</v>
      </c>
      <c r="E108" s="18">
        <f>C108*D108</f>
        <v>0</v>
      </c>
      <c r="G108" s="10" t="s">
        <v>252</v>
      </c>
    </row>
    <row r="109" spans="1:7" x14ac:dyDescent="0.2">
      <c r="A109" s="16" t="s">
        <v>102</v>
      </c>
      <c r="B109" s="17" t="s">
        <v>101</v>
      </c>
      <c r="C109" s="88"/>
      <c r="D109" s="18"/>
      <c r="E109" s="18"/>
      <c r="G109" s="10" t="s">
        <v>253</v>
      </c>
    </row>
    <row r="110" spans="1:7" x14ac:dyDescent="0.2">
      <c r="A110" s="16"/>
      <c r="B110" s="17" t="s">
        <v>106</v>
      </c>
      <c r="C110" s="18">
        <f>C109*8/7</f>
        <v>0</v>
      </c>
      <c r="D110" s="18">
        <f>D104/220*2*1.2</f>
        <v>16.967345454545452</v>
      </c>
      <c r="E110" s="18">
        <f>C110*D110</f>
        <v>0</v>
      </c>
      <c r="G110" s="10" t="s">
        <v>253</v>
      </c>
    </row>
    <row r="111" spans="1:7" x14ac:dyDescent="0.2">
      <c r="A111" s="16" t="s">
        <v>35</v>
      </c>
      <c r="B111" s="17" t="s">
        <v>0</v>
      </c>
      <c r="C111" s="88"/>
      <c r="D111" s="18">
        <f>D104/220*1.5</f>
        <v>10.604590909090909</v>
      </c>
      <c r="E111" s="18">
        <f>C111*D111</f>
        <v>0</v>
      </c>
      <c r="G111" s="10" t="s">
        <v>254</v>
      </c>
    </row>
    <row r="112" spans="1:7" x14ac:dyDescent="0.2">
      <c r="A112" s="16" t="s">
        <v>218</v>
      </c>
      <c r="B112" s="17" t="s">
        <v>101</v>
      </c>
      <c r="C112" s="88"/>
      <c r="D112" s="18"/>
      <c r="E112" s="18"/>
      <c r="G112" s="10" t="s">
        <v>255</v>
      </c>
    </row>
    <row r="113" spans="1:7" x14ac:dyDescent="0.2">
      <c r="A113" s="16"/>
      <c r="B113" s="17" t="s">
        <v>106</v>
      </c>
      <c r="C113" s="18">
        <f>C112*8/7</f>
        <v>0</v>
      </c>
      <c r="D113" s="18">
        <f>D104/220*1.5*1.2</f>
        <v>12.725509090909091</v>
      </c>
      <c r="E113" s="18">
        <f>C113*D113</f>
        <v>0</v>
      </c>
      <c r="G113" s="10" t="s">
        <v>255</v>
      </c>
    </row>
    <row r="114" spans="1:7" ht="13.15" customHeight="1" x14ac:dyDescent="0.2">
      <c r="A114" s="16" t="s">
        <v>220</v>
      </c>
      <c r="B114" s="17" t="s">
        <v>33</v>
      </c>
      <c r="D114" s="18">
        <f>63/302*(SUM(E108:E113))</f>
        <v>0</v>
      </c>
      <c r="E114" s="18">
        <f>D114</f>
        <v>0</v>
      </c>
      <c r="G114" s="10" t="s">
        <v>219</v>
      </c>
    </row>
    <row r="115" spans="1:7" x14ac:dyDescent="0.2">
      <c r="A115" s="16" t="s">
        <v>217</v>
      </c>
      <c r="B115" s="17"/>
      <c r="C115" s="90"/>
      <c r="D115" s="18"/>
      <c r="E115" s="18"/>
    </row>
    <row r="116" spans="1:7" x14ac:dyDescent="0.2">
      <c r="A116" s="16" t="s">
        <v>1</v>
      </c>
      <c r="B116" s="17" t="s">
        <v>2</v>
      </c>
      <c r="C116" s="83">
        <f>+C95</f>
        <v>40</v>
      </c>
      <c r="D116" s="83">
        <f>IF(C115=2,SUM(E104:E114),IF(C115=1,SUM(E104:E114)*D105/D104,0))</f>
        <v>0</v>
      </c>
      <c r="E116" s="18">
        <f>C116*D116/100</f>
        <v>0</v>
      </c>
    </row>
    <row r="117" spans="1:7" s="11" customFormat="1" x14ac:dyDescent="0.2">
      <c r="A117" s="117" t="s">
        <v>3</v>
      </c>
      <c r="B117" s="118"/>
      <c r="C117" s="118"/>
      <c r="D117" s="119"/>
      <c r="E117" s="120">
        <f>SUM(E104:E116)</f>
        <v>1555.34</v>
      </c>
      <c r="F117" s="44"/>
      <c r="G117" s="44"/>
    </row>
    <row r="118" spans="1:7" x14ac:dyDescent="0.2">
      <c r="A118" s="16" t="s">
        <v>4</v>
      </c>
      <c r="B118" s="17" t="s">
        <v>2</v>
      </c>
      <c r="C118" s="141">
        <f>'2.Encargos Sociais'!$C$37*100</f>
        <v>70.595951999999997</v>
      </c>
      <c r="D118" s="18">
        <f>E117</f>
        <v>1555.34</v>
      </c>
      <c r="E118" s="18">
        <f>D118*C118/100</f>
        <v>1098.0070798367999</v>
      </c>
    </row>
    <row r="119" spans="1:7" s="11" customFormat="1" x14ac:dyDescent="0.2">
      <c r="A119" s="117" t="s">
        <v>256</v>
      </c>
      <c r="B119" s="118"/>
      <c r="C119" s="118"/>
      <c r="D119" s="119"/>
      <c r="E119" s="120">
        <f>E117+E118</f>
        <v>2653.3470798367998</v>
      </c>
      <c r="F119" s="44"/>
      <c r="G119" s="44"/>
    </row>
    <row r="120" spans="1:7" ht="13.5" thickBot="1" x14ac:dyDescent="0.25">
      <c r="A120" s="16" t="s">
        <v>5</v>
      </c>
      <c r="B120" s="17" t="s">
        <v>6</v>
      </c>
      <c r="C120" s="86"/>
      <c r="D120" s="18">
        <f>E119</f>
        <v>2653.3470798367998</v>
      </c>
      <c r="E120" s="18">
        <f>C120*D120</f>
        <v>0</v>
      </c>
    </row>
    <row r="121" spans="1:7" ht="13.5" thickBot="1" x14ac:dyDescent="0.25">
      <c r="D121" s="124" t="s">
        <v>201</v>
      </c>
      <c r="E121" s="50">
        <f>$B$51</f>
        <v>1</v>
      </c>
      <c r="F121" s="125">
        <f>E120*E121</f>
        <v>0</v>
      </c>
    </row>
    <row r="122" spans="1:7" ht="11.25" customHeight="1" x14ac:dyDescent="0.2">
      <c r="G122" s="9"/>
    </row>
    <row r="123" spans="1:7" ht="13.5" thickBot="1" x14ac:dyDescent="0.25">
      <c r="A123" s="9" t="s">
        <v>107</v>
      </c>
      <c r="B123" s="93"/>
      <c r="D123" s="9"/>
      <c r="E123" s="9"/>
      <c r="G123" s="9"/>
    </row>
    <row r="124" spans="1:7" ht="13.5" thickBot="1" x14ac:dyDescent="0.25">
      <c r="A124" s="60" t="s">
        <v>64</v>
      </c>
      <c r="B124" s="61" t="s">
        <v>65</v>
      </c>
      <c r="C124" s="61" t="s">
        <v>40</v>
      </c>
      <c r="D124" s="62" t="s">
        <v>239</v>
      </c>
      <c r="E124" s="62" t="s">
        <v>66</v>
      </c>
      <c r="F124" s="63" t="s">
        <v>67</v>
      </c>
      <c r="G124" s="9"/>
    </row>
    <row r="125" spans="1:7" x14ac:dyDescent="0.2">
      <c r="A125" s="16" t="s">
        <v>93</v>
      </c>
      <c r="B125" s="17" t="s">
        <v>33</v>
      </c>
      <c r="C125" s="94">
        <v>1</v>
      </c>
      <c r="D125" s="92">
        <v>0</v>
      </c>
      <c r="E125" s="18"/>
      <c r="G125" s="9"/>
    </row>
    <row r="126" spans="1:7" x14ac:dyDescent="0.2">
      <c r="A126" s="16" t="s">
        <v>94</v>
      </c>
      <c r="B126" s="17" t="s">
        <v>95</v>
      </c>
      <c r="C126" s="91">
        <v>18</v>
      </c>
      <c r="D126" s="18"/>
      <c r="E126" s="18"/>
      <c r="G126" s="9"/>
    </row>
    <row r="127" spans="1:7" x14ac:dyDescent="0.2">
      <c r="A127" s="16" t="s">
        <v>74</v>
      </c>
      <c r="B127" s="17" t="s">
        <v>9</v>
      </c>
      <c r="C127" s="37">
        <f>$C$126*2*(C65+C84)</f>
        <v>72</v>
      </c>
      <c r="D127" s="15">
        <f>IFERROR((($C$126*2*$D$125)-(E57*0.06*C126/26))/($C$126*2),"-")</f>
        <v>-1.5354576923076921</v>
      </c>
      <c r="E127" s="18">
        <f>IFERROR(C127*D127,"-")</f>
        <v>-110.55295384615383</v>
      </c>
      <c r="G127" s="9"/>
    </row>
    <row r="128" spans="1:7" ht="13.5" thickBot="1" x14ac:dyDescent="0.25">
      <c r="A128" s="13" t="s">
        <v>44</v>
      </c>
      <c r="B128" s="14" t="s">
        <v>9</v>
      </c>
      <c r="C128" s="37">
        <f>$C$126*2*(C99+C120)</f>
        <v>36</v>
      </c>
      <c r="D128" s="15">
        <f>IFERROR((($C$126*2*$D$125)-(E89*0.06*C126/26))/($C$126*2),"-")</f>
        <v>-1.7946230769230764</v>
      </c>
      <c r="E128" s="15">
        <f>IFERROR(C128*D128,"-")</f>
        <v>-64.606430769230755</v>
      </c>
      <c r="G128" s="9"/>
    </row>
    <row r="129" spans="1:7" ht="13.5" thickBot="1" x14ac:dyDescent="0.25">
      <c r="F129" s="22">
        <f>SUM(E127:E128)</f>
        <v>-175.15938461538457</v>
      </c>
      <c r="G129" s="9"/>
    </row>
    <row r="130" spans="1:7" ht="11.25" customHeight="1" x14ac:dyDescent="0.2">
      <c r="G130" s="9"/>
    </row>
    <row r="131" spans="1:7" ht="13.5" thickBot="1" x14ac:dyDescent="0.25">
      <c r="A131" s="9" t="s">
        <v>128</v>
      </c>
      <c r="F131" s="23"/>
      <c r="G131" s="9"/>
    </row>
    <row r="132" spans="1:7" ht="13.5" thickBot="1" x14ac:dyDescent="0.25">
      <c r="A132" s="60" t="s">
        <v>64</v>
      </c>
      <c r="B132" s="61" t="s">
        <v>65</v>
      </c>
      <c r="C132" s="61" t="s">
        <v>40</v>
      </c>
      <c r="D132" s="62" t="s">
        <v>239</v>
      </c>
      <c r="E132" s="62" t="s">
        <v>66</v>
      </c>
      <c r="F132" s="63" t="s">
        <v>67</v>
      </c>
      <c r="G132" s="9"/>
    </row>
    <row r="133" spans="1:7" x14ac:dyDescent="0.2">
      <c r="A133" s="16" t="str">
        <f>+A127</f>
        <v>Coletor</v>
      </c>
      <c r="B133" s="17" t="s">
        <v>10</v>
      </c>
      <c r="C133" s="102">
        <f>C126*(E41+E42)</f>
        <v>36</v>
      </c>
      <c r="D133" s="95">
        <v>17.41</v>
      </c>
      <c r="E133" s="50">
        <f>C133*D133</f>
        <v>626.76</v>
      </c>
      <c r="F133" s="23"/>
      <c r="G133" s="9"/>
    </row>
    <row r="134" spans="1:7" ht="13.5" thickBot="1" x14ac:dyDescent="0.25">
      <c r="A134" s="16" t="str">
        <f>+A128</f>
        <v>Motorista</v>
      </c>
      <c r="B134" s="17" t="s">
        <v>10</v>
      </c>
      <c r="C134" s="102">
        <f>C126*(E43+E44)</f>
        <v>18</v>
      </c>
      <c r="D134" s="95">
        <v>11.7</v>
      </c>
      <c r="E134" s="50">
        <f>C134*D134</f>
        <v>210.6</v>
      </c>
      <c r="F134" s="23"/>
      <c r="G134" s="9"/>
    </row>
    <row r="135" spans="1:7" ht="13.5" thickBot="1" x14ac:dyDescent="0.25">
      <c r="F135" s="22">
        <f>SUM(E133:E134)</f>
        <v>837.36</v>
      </c>
      <c r="G135" s="9"/>
    </row>
    <row r="136" spans="1:7" x14ac:dyDescent="0.2">
      <c r="G136" s="9"/>
    </row>
    <row r="137" spans="1:7" ht="13.5" thickBot="1" x14ac:dyDescent="0.25">
      <c r="A137" s="9" t="s">
        <v>129</v>
      </c>
      <c r="F137" s="23"/>
      <c r="G137" s="9"/>
    </row>
    <row r="138" spans="1:7" ht="13.5" thickBot="1" x14ac:dyDescent="0.25">
      <c r="A138" s="60" t="s">
        <v>64</v>
      </c>
      <c r="B138" s="61" t="s">
        <v>65</v>
      </c>
      <c r="C138" s="61" t="s">
        <v>40</v>
      </c>
      <c r="D138" s="62" t="s">
        <v>239</v>
      </c>
      <c r="E138" s="62" t="s">
        <v>66</v>
      </c>
      <c r="F138" s="63" t="s">
        <v>67</v>
      </c>
      <c r="G138" s="9"/>
    </row>
    <row r="139" spans="1:7" x14ac:dyDescent="0.2">
      <c r="A139" s="16" t="str">
        <f>+A133</f>
        <v>Coletor</v>
      </c>
      <c r="B139" s="17" t="s">
        <v>10</v>
      </c>
      <c r="C139" s="102">
        <f>E41+E42</f>
        <v>2</v>
      </c>
      <c r="D139" s="95"/>
      <c r="E139" s="50">
        <f>C139*D139</f>
        <v>0</v>
      </c>
      <c r="F139" s="23"/>
      <c r="G139" s="9"/>
    </row>
    <row r="140" spans="1:7" ht="13.5" thickBot="1" x14ac:dyDescent="0.25">
      <c r="A140" s="16" t="str">
        <f>+A134</f>
        <v>Motorista</v>
      </c>
      <c r="B140" s="17" t="s">
        <v>10</v>
      </c>
      <c r="C140" s="102">
        <f>E43+E44</f>
        <v>1</v>
      </c>
      <c r="D140" s="95">
        <v>88.75</v>
      </c>
      <c r="E140" s="50">
        <f>C140*D140</f>
        <v>88.75</v>
      </c>
      <c r="F140" s="23"/>
      <c r="G140" s="9"/>
    </row>
    <row r="141" spans="1:7" ht="13.5" thickBot="1" x14ac:dyDescent="0.25">
      <c r="D141" s="124" t="s">
        <v>201</v>
      </c>
      <c r="E141" s="50">
        <f>$B$51</f>
        <v>1</v>
      </c>
      <c r="F141" s="22">
        <f>SUM(E139:E140)*E141</f>
        <v>88.75</v>
      </c>
      <c r="G141" s="9"/>
    </row>
    <row r="142" spans="1:7" ht="13.5" thickBot="1" x14ac:dyDescent="0.25">
      <c r="G142" s="9"/>
    </row>
    <row r="143" spans="1:7" ht="13.5" thickBot="1" x14ac:dyDescent="0.25">
      <c r="A143" s="24" t="s">
        <v>96</v>
      </c>
      <c r="B143" s="25"/>
      <c r="C143" s="25"/>
      <c r="D143" s="26"/>
      <c r="E143" s="27"/>
      <c r="F143" s="22">
        <f>F141+F135+F129+F121+F100+F85+F66</f>
        <v>10822.116760895015</v>
      </c>
      <c r="G143" s="9"/>
    </row>
    <row r="145" spans="1:7" x14ac:dyDescent="0.2">
      <c r="A145" s="11" t="s">
        <v>45</v>
      </c>
      <c r="G145" s="9"/>
    </row>
    <row r="146" spans="1:7" ht="11.25" customHeight="1" x14ac:dyDescent="0.2">
      <c r="G146" s="9"/>
    </row>
    <row r="147" spans="1:7" ht="13.9" customHeight="1" x14ac:dyDescent="0.2">
      <c r="A147" s="9" t="s">
        <v>203</v>
      </c>
      <c r="G147" s="9"/>
    </row>
    <row r="148" spans="1:7" ht="11.25" customHeight="1" thickBot="1" x14ac:dyDescent="0.25">
      <c r="G148" s="9"/>
    </row>
    <row r="149" spans="1:7" ht="27.75" customHeight="1" thickBot="1" x14ac:dyDescent="0.25">
      <c r="A149" s="60" t="s">
        <v>64</v>
      </c>
      <c r="B149" s="61" t="s">
        <v>65</v>
      </c>
      <c r="C149" s="265" t="s">
        <v>257</v>
      </c>
      <c r="D149" s="62" t="s">
        <v>239</v>
      </c>
      <c r="E149" s="62" t="s">
        <v>66</v>
      </c>
      <c r="F149" s="63" t="s">
        <v>67</v>
      </c>
      <c r="G149" s="9"/>
    </row>
    <row r="150" spans="1:7" x14ac:dyDescent="0.2">
      <c r="A150" s="13" t="s">
        <v>68</v>
      </c>
      <c r="B150" s="14" t="s">
        <v>10</v>
      </c>
      <c r="C150" s="101">
        <v>3</v>
      </c>
      <c r="D150" s="87">
        <v>150</v>
      </c>
      <c r="E150" s="15">
        <f>IFERROR(D150/C150,0)</f>
        <v>50</v>
      </c>
      <c r="G150" s="9"/>
    </row>
    <row r="151" spans="1:7" ht="13.15" customHeight="1" x14ac:dyDescent="0.2">
      <c r="A151" s="16" t="s">
        <v>29</v>
      </c>
      <c r="B151" s="17" t="s">
        <v>10</v>
      </c>
      <c r="C151" s="101">
        <v>3</v>
      </c>
      <c r="D151" s="87">
        <v>100</v>
      </c>
      <c r="E151" s="15">
        <f t="shared" ref="E151:E159" si="1">IFERROR(D151/C151,0)</f>
        <v>33.333333333333336</v>
      </c>
      <c r="G151" s="9"/>
    </row>
    <row r="152" spans="1:7" x14ac:dyDescent="0.2">
      <c r="A152" s="16" t="s">
        <v>30</v>
      </c>
      <c r="B152" s="17" t="s">
        <v>10</v>
      </c>
      <c r="C152" s="101">
        <v>3</v>
      </c>
      <c r="D152" s="87">
        <v>40</v>
      </c>
      <c r="E152" s="15">
        <f t="shared" si="1"/>
        <v>13.333333333333334</v>
      </c>
      <c r="G152" s="9"/>
    </row>
    <row r="153" spans="1:7" ht="13.15" customHeight="1" x14ac:dyDescent="0.2">
      <c r="A153" s="16" t="s">
        <v>31</v>
      </c>
      <c r="B153" s="17" t="s">
        <v>10</v>
      </c>
      <c r="C153" s="101">
        <v>3</v>
      </c>
      <c r="D153" s="87">
        <v>25</v>
      </c>
      <c r="E153" s="15">
        <f t="shared" si="1"/>
        <v>8.3333333333333339</v>
      </c>
      <c r="G153" s="9"/>
    </row>
    <row r="154" spans="1:7" ht="13.9" customHeight="1" x14ac:dyDescent="0.2">
      <c r="A154" s="16" t="s">
        <v>70</v>
      </c>
      <c r="B154" s="17" t="s">
        <v>48</v>
      </c>
      <c r="C154" s="101">
        <v>3</v>
      </c>
      <c r="D154" s="87">
        <v>80</v>
      </c>
      <c r="E154" s="15">
        <f t="shared" si="1"/>
        <v>26.666666666666668</v>
      </c>
      <c r="G154" s="9"/>
    </row>
    <row r="155" spans="1:7" ht="13.15" customHeight="1" x14ac:dyDescent="0.2">
      <c r="A155" s="16" t="s">
        <v>97</v>
      </c>
      <c r="B155" s="17" t="s">
        <v>48</v>
      </c>
      <c r="C155" s="101">
        <v>2</v>
      </c>
      <c r="D155" s="87">
        <v>15</v>
      </c>
      <c r="E155" s="15">
        <f t="shared" si="1"/>
        <v>7.5</v>
      </c>
    </row>
    <row r="156" spans="1:7" x14ac:dyDescent="0.2">
      <c r="A156" s="16" t="s">
        <v>69</v>
      </c>
      <c r="B156" s="17" t="s">
        <v>10</v>
      </c>
      <c r="C156" s="101">
        <v>4</v>
      </c>
      <c r="D156" s="87">
        <v>40</v>
      </c>
      <c r="E156" s="15">
        <f t="shared" si="1"/>
        <v>10</v>
      </c>
    </row>
    <row r="157" spans="1:7" s="1" customFormat="1" x14ac:dyDescent="0.2">
      <c r="A157" s="2" t="s">
        <v>11</v>
      </c>
      <c r="B157" s="3" t="s">
        <v>10</v>
      </c>
      <c r="C157" s="101">
        <v>6</v>
      </c>
      <c r="D157" s="87">
        <v>18.5</v>
      </c>
      <c r="E157" s="15">
        <f t="shared" si="1"/>
        <v>3.0833333333333335</v>
      </c>
      <c r="F157" s="38"/>
      <c r="G157" s="38"/>
    </row>
    <row r="158" spans="1:7" x14ac:dyDescent="0.2">
      <c r="A158" s="16" t="s">
        <v>32</v>
      </c>
      <c r="B158" s="17" t="s">
        <v>48</v>
      </c>
      <c r="C158" s="101">
        <v>1</v>
      </c>
      <c r="D158" s="87">
        <v>21.9</v>
      </c>
      <c r="E158" s="15">
        <f t="shared" si="1"/>
        <v>21.9</v>
      </c>
    </row>
    <row r="159" spans="1:7" ht="13.15" customHeight="1" x14ac:dyDescent="0.2">
      <c r="A159" s="16" t="s">
        <v>63</v>
      </c>
      <c r="B159" s="17" t="s">
        <v>49</v>
      </c>
      <c r="C159" s="101">
        <v>1</v>
      </c>
      <c r="D159" s="87">
        <v>17.899999999999999</v>
      </c>
      <c r="E159" s="15">
        <f t="shared" si="1"/>
        <v>17.899999999999999</v>
      </c>
    </row>
    <row r="160" spans="1:7" x14ac:dyDescent="0.2">
      <c r="A160" s="16" t="s">
        <v>204</v>
      </c>
      <c r="B160" s="17" t="s">
        <v>130</v>
      </c>
      <c r="C160" s="122">
        <v>1</v>
      </c>
      <c r="D160" s="87">
        <v>100</v>
      </c>
      <c r="E160" s="18">
        <f t="shared" ref="E160:E161" si="2">C160*D160</f>
        <v>100</v>
      </c>
    </row>
    <row r="161" spans="1:7" ht="13.5" thickBot="1" x14ac:dyDescent="0.25">
      <c r="A161" s="16" t="s">
        <v>5</v>
      </c>
      <c r="B161" s="17" t="s">
        <v>6</v>
      </c>
      <c r="C161" s="69">
        <f>E41+E42</f>
        <v>2</v>
      </c>
      <c r="D161" s="18">
        <f>+SUM(E150:E160)</f>
        <v>292.05</v>
      </c>
      <c r="E161" s="18">
        <f t="shared" si="2"/>
        <v>584.1</v>
      </c>
    </row>
    <row r="162" spans="1:7" ht="13.5" thickBot="1" x14ac:dyDescent="0.25">
      <c r="D162" s="124" t="s">
        <v>201</v>
      </c>
      <c r="E162" s="50">
        <f>$B$51</f>
        <v>1</v>
      </c>
      <c r="F162" s="125">
        <f>E161*E162</f>
        <v>584.1</v>
      </c>
    </row>
    <row r="163" spans="1:7" ht="11.25" customHeight="1" x14ac:dyDescent="0.2"/>
    <row r="164" spans="1:7" ht="13.9" customHeight="1" x14ac:dyDescent="0.2">
      <c r="A164" s="9" t="s">
        <v>205</v>
      </c>
    </row>
    <row r="165" spans="1:7" ht="11.25" customHeight="1" thickBot="1" x14ac:dyDescent="0.25"/>
    <row r="166" spans="1:7" ht="24.75" thickBot="1" x14ac:dyDescent="0.25">
      <c r="A166" s="60" t="s">
        <v>64</v>
      </c>
      <c r="B166" s="61" t="s">
        <v>65</v>
      </c>
      <c r="C166" s="265" t="s">
        <v>257</v>
      </c>
      <c r="D166" s="62" t="s">
        <v>239</v>
      </c>
      <c r="E166" s="62" t="s">
        <v>66</v>
      </c>
      <c r="F166" s="63" t="s">
        <v>67</v>
      </c>
    </row>
    <row r="167" spans="1:7" x14ac:dyDescent="0.2">
      <c r="A167" s="13" t="s">
        <v>68</v>
      </c>
      <c r="B167" s="14" t="s">
        <v>10</v>
      </c>
      <c r="C167" s="101">
        <v>12</v>
      </c>
      <c r="D167" s="15">
        <f>+D150</f>
        <v>150</v>
      </c>
      <c r="E167" s="15">
        <f>IFERROR(D167/C167,0)</f>
        <v>12.5</v>
      </c>
    </row>
    <row r="168" spans="1:7" x14ac:dyDescent="0.2">
      <c r="A168" s="16" t="s">
        <v>29</v>
      </c>
      <c r="B168" s="17" t="s">
        <v>10</v>
      </c>
      <c r="C168" s="101">
        <v>6</v>
      </c>
      <c r="D168" s="18">
        <f>+D151</f>
        <v>100</v>
      </c>
      <c r="E168" s="15">
        <f t="shared" ref="E168:E172" si="3">IFERROR(D168/C168,0)</f>
        <v>16.666666666666668</v>
      </c>
    </row>
    <row r="169" spans="1:7" x14ac:dyDescent="0.2">
      <c r="A169" s="16" t="s">
        <v>30</v>
      </c>
      <c r="B169" s="17" t="s">
        <v>10</v>
      </c>
      <c r="C169" s="101">
        <v>3</v>
      </c>
      <c r="D169" s="18">
        <f>+D152</f>
        <v>40</v>
      </c>
      <c r="E169" s="15">
        <f t="shared" si="3"/>
        <v>13.333333333333334</v>
      </c>
    </row>
    <row r="170" spans="1:7" x14ac:dyDescent="0.2">
      <c r="A170" s="16" t="s">
        <v>70</v>
      </c>
      <c r="B170" s="17" t="s">
        <v>48</v>
      </c>
      <c r="C170" s="101">
        <v>6</v>
      </c>
      <c r="D170" s="18">
        <f>+D154</f>
        <v>80</v>
      </c>
      <c r="E170" s="15">
        <f t="shared" si="3"/>
        <v>13.333333333333334</v>
      </c>
    </row>
    <row r="171" spans="1:7" x14ac:dyDescent="0.2">
      <c r="A171" s="16" t="s">
        <v>69</v>
      </c>
      <c r="B171" s="17" t="s">
        <v>10</v>
      </c>
      <c r="C171" s="101">
        <v>12</v>
      </c>
      <c r="D171" s="18">
        <f>+D156</f>
        <v>40</v>
      </c>
      <c r="E171" s="15">
        <f t="shared" si="3"/>
        <v>3.3333333333333335</v>
      </c>
      <c r="G171" s="9"/>
    </row>
    <row r="172" spans="1:7" x14ac:dyDescent="0.2">
      <c r="A172" s="16" t="s">
        <v>63</v>
      </c>
      <c r="B172" s="17" t="s">
        <v>49</v>
      </c>
      <c r="C172" s="101">
        <v>1</v>
      </c>
      <c r="D172" s="18">
        <f>+D159</f>
        <v>17.899999999999999</v>
      </c>
      <c r="E172" s="15">
        <f t="shared" si="3"/>
        <v>17.899999999999999</v>
      </c>
      <c r="G172" s="9"/>
    </row>
    <row r="173" spans="1:7" x14ac:dyDescent="0.2">
      <c r="A173" s="16" t="s">
        <v>204</v>
      </c>
      <c r="B173" s="17" t="s">
        <v>130</v>
      </c>
      <c r="C173" s="122">
        <v>1</v>
      </c>
      <c r="D173" s="87">
        <v>85</v>
      </c>
      <c r="E173" s="18">
        <f t="shared" ref="E173:E174" si="4">C173*D173</f>
        <v>85</v>
      </c>
      <c r="G173" s="9"/>
    </row>
    <row r="174" spans="1:7" ht="13.5" thickBot="1" x14ac:dyDescent="0.25">
      <c r="A174" s="16" t="s">
        <v>5</v>
      </c>
      <c r="B174" s="17" t="s">
        <v>6</v>
      </c>
      <c r="C174" s="69">
        <f>E43+E44</f>
        <v>1</v>
      </c>
      <c r="D174" s="18">
        <f>+SUM(E167:E173)</f>
        <v>162.06666666666666</v>
      </c>
      <c r="E174" s="18">
        <f t="shared" si="4"/>
        <v>162.06666666666666</v>
      </c>
      <c r="G174" s="9"/>
    </row>
    <row r="175" spans="1:7" ht="13.5" thickBot="1" x14ac:dyDescent="0.25">
      <c r="D175" s="124" t="s">
        <v>201</v>
      </c>
      <c r="E175" s="50">
        <f>$B$51</f>
        <v>1</v>
      </c>
      <c r="F175" s="125">
        <f>E174*E175</f>
        <v>162.06666666666666</v>
      </c>
      <c r="G175" s="9"/>
    </row>
    <row r="176" spans="1:7" ht="11.25" customHeight="1" thickBot="1" x14ac:dyDescent="0.25">
      <c r="G176" s="9"/>
    </row>
    <row r="177" spans="1:10" ht="13.5" thickBot="1" x14ac:dyDescent="0.25">
      <c r="A177" s="24" t="s">
        <v>206</v>
      </c>
      <c r="B177" s="28"/>
      <c r="C177" s="28"/>
      <c r="D177" s="29"/>
      <c r="E177" s="30"/>
      <c r="F177" s="21">
        <f>+F162+F175</f>
        <v>746.16666666666674</v>
      </c>
      <c r="G177" s="9"/>
    </row>
    <row r="178" spans="1:10" ht="11.25" customHeight="1" x14ac:dyDescent="0.2">
      <c r="G178" s="9"/>
    </row>
    <row r="179" spans="1:10" x14ac:dyDescent="0.2">
      <c r="A179" s="11" t="s">
        <v>54</v>
      </c>
      <c r="G179" s="9"/>
    </row>
    <row r="180" spans="1:10" ht="11.25" customHeight="1" x14ac:dyDescent="0.2">
      <c r="B180" s="107"/>
      <c r="G180" s="9"/>
    </row>
    <row r="181" spans="1:10" x14ac:dyDescent="0.2">
      <c r="A181" s="7" t="s">
        <v>301</v>
      </c>
      <c r="G181" s="9"/>
    </row>
    <row r="182" spans="1:10" ht="11.25" customHeight="1" x14ac:dyDescent="0.2">
      <c r="G182" s="9"/>
    </row>
    <row r="183" spans="1:10" ht="13.5" thickBot="1" x14ac:dyDescent="0.25">
      <c r="A183" s="107" t="s">
        <v>46</v>
      </c>
      <c r="G183" s="9"/>
    </row>
    <row r="184" spans="1:10" ht="13.5" thickBot="1" x14ac:dyDescent="0.25">
      <c r="A184" s="60" t="s">
        <v>64</v>
      </c>
      <c r="B184" s="61" t="s">
        <v>65</v>
      </c>
      <c r="C184" s="61" t="s">
        <v>40</v>
      </c>
      <c r="D184" s="62" t="s">
        <v>239</v>
      </c>
      <c r="E184" s="62" t="s">
        <v>66</v>
      </c>
      <c r="F184" s="63" t="s">
        <v>67</v>
      </c>
      <c r="G184" s="9"/>
    </row>
    <row r="185" spans="1:10" x14ac:dyDescent="0.2">
      <c r="A185" s="13" t="s">
        <v>112</v>
      </c>
      <c r="B185" s="14" t="s">
        <v>10</v>
      </c>
      <c r="C185" s="271">
        <v>1</v>
      </c>
      <c r="D185" s="87">
        <v>130000</v>
      </c>
      <c r="E185" s="15">
        <f>C185*D185</f>
        <v>130000</v>
      </c>
      <c r="G185" s="9"/>
    </row>
    <row r="186" spans="1:10" x14ac:dyDescent="0.2">
      <c r="A186" s="16" t="s">
        <v>108</v>
      </c>
      <c r="B186" s="17" t="s">
        <v>109</v>
      </c>
      <c r="C186" s="86">
        <v>5</v>
      </c>
      <c r="D186" s="83"/>
      <c r="E186" s="18"/>
      <c r="G186" s="9"/>
    </row>
    <row r="187" spans="1:10" x14ac:dyDescent="0.2">
      <c r="A187" s="16" t="s">
        <v>212</v>
      </c>
      <c r="B187" s="17" t="s">
        <v>109</v>
      </c>
      <c r="C187" s="86">
        <v>5</v>
      </c>
      <c r="D187" s="18"/>
      <c r="E187" s="18"/>
      <c r="F187" s="20"/>
      <c r="I187" s="85"/>
      <c r="J187" s="85"/>
    </row>
    <row r="188" spans="1:10" x14ac:dyDescent="0.2">
      <c r="A188" s="16" t="s">
        <v>111</v>
      </c>
      <c r="B188" s="17" t="s">
        <v>2</v>
      </c>
      <c r="C188" s="141">
        <f>IFERROR(VLOOKUP(C186,'5. Depreciação'!A3:B17,2,FALSE),0)</f>
        <v>55.679999999999993</v>
      </c>
      <c r="D188" s="18">
        <f>E185</f>
        <v>130000</v>
      </c>
      <c r="E188" s="18">
        <f>C188*D188/100</f>
        <v>72383.999999999985</v>
      </c>
    </row>
    <row r="189" spans="1:10" ht="13.5" thickBot="1" x14ac:dyDescent="0.25">
      <c r="A189" s="274" t="s">
        <v>50</v>
      </c>
      <c r="B189" s="275" t="s">
        <v>8</v>
      </c>
      <c r="C189" s="275">
        <f>C186*12</f>
        <v>60</v>
      </c>
      <c r="D189" s="276">
        <f>IF(C187&lt;=C186,E188,0)</f>
        <v>72383.999999999985</v>
      </c>
      <c r="E189" s="276">
        <f>IFERROR(D189/C189,0)</f>
        <v>1206.3999999999999</v>
      </c>
    </row>
    <row r="190" spans="1:10" ht="13.5" thickTop="1" x14ac:dyDescent="0.2">
      <c r="A190" s="304" t="s">
        <v>302</v>
      </c>
      <c r="B190" s="14" t="s">
        <v>10</v>
      </c>
      <c r="C190" s="14">
        <f>C185</f>
        <v>1</v>
      </c>
      <c r="D190" s="87">
        <v>20000</v>
      </c>
      <c r="E190" s="15">
        <f>C190*D190</f>
        <v>20000</v>
      </c>
      <c r="G190" s="9"/>
    </row>
    <row r="191" spans="1:10" x14ac:dyDescent="0.2">
      <c r="A191" s="310" t="s">
        <v>303</v>
      </c>
      <c r="B191" s="17" t="s">
        <v>109</v>
      </c>
      <c r="C191" s="86">
        <v>5</v>
      </c>
      <c r="D191" s="18"/>
      <c r="E191" s="18"/>
    </row>
    <row r="192" spans="1:10" x14ac:dyDescent="0.2">
      <c r="A192" s="310" t="s">
        <v>304</v>
      </c>
      <c r="B192" s="17" t="s">
        <v>109</v>
      </c>
      <c r="C192" s="86">
        <v>5</v>
      </c>
      <c r="D192" s="18"/>
      <c r="E192" s="18"/>
      <c r="F192" s="20"/>
      <c r="I192" s="85"/>
      <c r="J192" s="85"/>
    </row>
    <row r="193" spans="1:10" x14ac:dyDescent="0.2">
      <c r="A193" s="16" t="s">
        <v>110</v>
      </c>
      <c r="B193" s="17" t="s">
        <v>2</v>
      </c>
      <c r="C193" s="142">
        <f>IFERROR(VLOOKUP(C191,'5. Depreciação'!A3:B17,2,FALSE),0)</f>
        <v>55.679999999999993</v>
      </c>
      <c r="D193" s="18">
        <f>E190</f>
        <v>20000</v>
      </c>
      <c r="E193" s="18">
        <f>C193*D193/100</f>
        <v>11135.999999999998</v>
      </c>
    </row>
    <row r="194" spans="1:10" x14ac:dyDescent="0.2">
      <c r="A194" s="103" t="s">
        <v>113</v>
      </c>
      <c r="B194" s="104" t="s">
        <v>8</v>
      </c>
      <c r="C194" s="104">
        <f>C191*12</f>
        <v>60</v>
      </c>
      <c r="D194" s="105">
        <f>IF(C192&lt;=C191,E193,0)</f>
        <v>11135.999999999998</v>
      </c>
      <c r="E194" s="105">
        <f>IFERROR(D194/C194,0)</f>
        <v>185.59999999999997</v>
      </c>
    </row>
    <row r="195" spans="1:10" x14ac:dyDescent="0.2">
      <c r="A195" s="117" t="s">
        <v>260</v>
      </c>
      <c r="B195" s="118"/>
      <c r="C195" s="118"/>
      <c r="D195" s="119"/>
      <c r="E195" s="120">
        <f>E189+E194</f>
        <v>1391.9999999999998</v>
      </c>
    </row>
    <row r="196" spans="1:10" ht="13.5" thickBot="1" x14ac:dyDescent="0.25">
      <c r="A196" s="103" t="s">
        <v>261</v>
      </c>
      <c r="B196" s="104" t="s">
        <v>10</v>
      </c>
      <c r="C196" s="86">
        <v>1</v>
      </c>
      <c r="D196" s="105">
        <f>E195</f>
        <v>1391.9999999999998</v>
      </c>
      <c r="E196" s="120">
        <f>C196*D196</f>
        <v>1391.9999999999998</v>
      </c>
    </row>
    <row r="197" spans="1:10" ht="13.5" thickBot="1" x14ac:dyDescent="0.25">
      <c r="A197" s="270"/>
      <c r="B197" s="270"/>
      <c r="C197" s="270"/>
      <c r="D197" s="124" t="s">
        <v>201</v>
      </c>
      <c r="E197" s="50">
        <f>$B$51</f>
        <v>1</v>
      </c>
      <c r="F197" s="21">
        <f>E196*E197</f>
        <v>1391.9999999999998</v>
      </c>
    </row>
    <row r="198" spans="1:10" ht="11.25" customHeight="1" x14ac:dyDescent="0.2"/>
    <row r="199" spans="1:10" ht="13.5" thickBot="1" x14ac:dyDescent="0.25">
      <c r="A199" s="107" t="s">
        <v>118</v>
      </c>
    </row>
    <row r="200" spans="1:10" ht="13.5" thickBot="1" x14ac:dyDescent="0.25">
      <c r="A200" s="109" t="s">
        <v>64</v>
      </c>
      <c r="B200" s="110" t="s">
        <v>65</v>
      </c>
      <c r="C200" s="110" t="s">
        <v>40</v>
      </c>
      <c r="D200" s="62" t="s">
        <v>239</v>
      </c>
      <c r="E200" s="111" t="s">
        <v>66</v>
      </c>
      <c r="F200" s="63" t="s">
        <v>67</v>
      </c>
      <c r="I200" s="85"/>
      <c r="J200" s="85"/>
    </row>
    <row r="201" spans="1:10" x14ac:dyDescent="0.2">
      <c r="A201" s="16" t="s">
        <v>116</v>
      </c>
      <c r="B201" s="17" t="s">
        <v>10</v>
      </c>
      <c r="C201" s="271">
        <v>1</v>
      </c>
      <c r="D201" s="18">
        <f>D185</f>
        <v>130000</v>
      </c>
      <c r="E201" s="18">
        <f>C201*D201</f>
        <v>130000</v>
      </c>
      <c r="F201" s="20"/>
      <c r="I201" s="85"/>
      <c r="J201" s="85"/>
    </row>
    <row r="202" spans="1:10" x14ac:dyDescent="0.2">
      <c r="A202" s="16" t="s">
        <v>215</v>
      </c>
      <c r="B202" s="17" t="s">
        <v>2</v>
      </c>
      <c r="C202" s="86">
        <v>2</v>
      </c>
      <c r="D202" s="18"/>
      <c r="E202" s="18"/>
      <c r="F202" s="20"/>
      <c r="I202" s="85"/>
      <c r="J202" s="85"/>
    </row>
    <row r="203" spans="1:10" x14ac:dyDescent="0.2">
      <c r="A203" s="16" t="s">
        <v>213</v>
      </c>
      <c r="B203" s="17" t="s">
        <v>33</v>
      </c>
      <c r="C203" s="149">
        <f>IFERROR(IF(C187&lt;=C186,E185-(C188/(100*C186)*C187)*E185,E185-E188),0)</f>
        <v>57616</v>
      </c>
      <c r="D203" s="18"/>
      <c r="E203" s="18"/>
      <c r="F203" s="20"/>
      <c r="I203" s="85"/>
      <c r="J203" s="85"/>
    </row>
    <row r="204" spans="1:10" x14ac:dyDescent="0.2">
      <c r="A204" s="16" t="s">
        <v>121</v>
      </c>
      <c r="B204" s="17" t="s">
        <v>33</v>
      </c>
      <c r="C204" s="83">
        <f>IFERROR(IF(C187&gt;=C186,C203,((((C203)-(E185-E188))*(((C186-C187)+1)/(2*(C186-C187))))+(E185-E188))),0)</f>
        <v>57616</v>
      </c>
      <c r="D204" s="18"/>
      <c r="E204" s="18"/>
      <c r="F204" s="20"/>
      <c r="I204" s="85"/>
      <c r="J204" s="85"/>
    </row>
    <row r="205" spans="1:10" ht="13.5" thickBot="1" x14ac:dyDescent="0.25">
      <c r="A205" s="274" t="s">
        <v>122</v>
      </c>
      <c r="B205" s="275" t="s">
        <v>33</v>
      </c>
      <c r="C205" s="275"/>
      <c r="D205" s="277">
        <f>C202*C204/12/100</f>
        <v>96.026666666666657</v>
      </c>
      <c r="E205" s="276">
        <f>D205</f>
        <v>96.026666666666657</v>
      </c>
      <c r="F205" s="20"/>
      <c r="I205" s="85"/>
      <c r="J205" s="85"/>
    </row>
    <row r="206" spans="1:10" ht="13.5" thickTop="1" x14ac:dyDescent="0.2">
      <c r="A206" s="13" t="s">
        <v>117</v>
      </c>
      <c r="B206" s="14" t="s">
        <v>10</v>
      </c>
      <c r="C206" s="14">
        <f>C190</f>
        <v>1</v>
      </c>
      <c r="D206" s="15">
        <f>D190</f>
        <v>20000</v>
      </c>
      <c r="E206" s="15">
        <f>C206*D206</f>
        <v>20000</v>
      </c>
      <c r="F206" s="20"/>
      <c r="I206" s="85"/>
      <c r="J206" s="85"/>
    </row>
    <row r="207" spans="1:10" x14ac:dyDescent="0.2">
      <c r="A207" s="16" t="s">
        <v>215</v>
      </c>
      <c r="B207" s="17" t="s">
        <v>2</v>
      </c>
      <c r="C207" s="272">
        <f>C202</f>
        <v>2</v>
      </c>
      <c r="D207" s="18"/>
      <c r="E207" s="18"/>
      <c r="F207" s="20"/>
      <c r="I207" s="85"/>
      <c r="J207" s="85"/>
    </row>
    <row r="208" spans="1:10" x14ac:dyDescent="0.2">
      <c r="A208" s="16" t="s">
        <v>214</v>
      </c>
      <c r="B208" s="17" t="s">
        <v>33</v>
      </c>
      <c r="C208" s="149">
        <f>IFERROR(IF(C192&lt;=C191,E190-(C193/(100*C191)*C192)*E190,E190-E193),0)</f>
        <v>8864</v>
      </c>
      <c r="D208" s="18"/>
      <c r="E208" s="18"/>
      <c r="F208" s="20"/>
      <c r="I208" s="85"/>
      <c r="J208" s="85"/>
    </row>
    <row r="209" spans="1:10" x14ac:dyDescent="0.2">
      <c r="A209" s="16" t="s">
        <v>123</v>
      </c>
      <c r="B209" s="17" t="s">
        <v>33</v>
      </c>
      <c r="C209" s="83">
        <f>IFERROR(IF(C192&gt;=C191,C208,((((C208)-(E190-E193))*(((C191-C192)+1)/(2*(C191-C192))))+(E190-E193))),0)</f>
        <v>8864</v>
      </c>
      <c r="D209" s="18"/>
      <c r="E209" s="18"/>
      <c r="F209" s="20"/>
      <c r="I209" s="85"/>
      <c r="J209" s="85"/>
    </row>
    <row r="210" spans="1:10" x14ac:dyDescent="0.2">
      <c r="A210" s="103" t="s">
        <v>120</v>
      </c>
      <c r="B210" s="104" t="s">
        <v>33</v>
      </c>
      <c r="C210" s="104"/>
      <c r="D210" s="113">
        <f>C207*C209/12/100</f>
        <v>14.773333333333333</v>
      </c>
      <c r="E210" s="105">
        <f>D210</f>
        <v>14.773333333333333</v>
      </c>
      <c r="F210" s="20"/>
      <c r="I210" s="85"/>
      <c r="J210" s="85"/>
    </row>
    <row r="211" spans="1:10" x14ac:dyDescent="0.2">
      <c r="A211" s="117" t="s">
        <v>260</v>
      </c>
      <c r="B211" s="118"/>
      <c r="C211" s="118"/>
      <c r="D211" s="119"/>
      <c r="E211" s="120">
        <f>E205+E210</f>
        <v>110.79999999999998</v>
      </c>
      <c r="F211" s="20"/>
      <c r="I211" s="85"/>
      <c r="J211" s="85"/>
    </row>
    <row r="212" spans="1:10" ht="13.5" thickBot="1" x14ac:dyDescent="0.25">
      <c r="A212" s="103" t="s">
        <v>261</v>
      </c>
      <c r="B212" s="104" t="s">
        <v>10</v>
      </c>
      <c r="C212" s="272">
        <f>C196</f>
        <v>1</v>
      </c>
      <c r="D212" s="105">
        <f>E211</f>
        <v>110.79999999999998</v>
      </c>
      <c r="E212" s="120">
        <f>C212*D212</f>
        <v>110.79999999999998</v>
      </c>
      <c r="F212" s="20"/>
      <c r="I212" s="85"/>
      <c r="J212" s="85"/>
    </row>
    <row r="213" spans="1:10" ht="13.5" thickBot="1" x14ac:dyDescent="0.25">
      <c r="C213" s="19"/>
      <c r="D213" s="124" t="s">
        <v>201</v>
      </c>
      <c r="E213" s="50">
        <f>$B$51</f>
        <v>1</v>
      </c>
      <c r="F213" s="21">
        <f>E212*E213</f>
        <v>110.79999999999998</v>
      </c>
      <c r="I213" s="85"/>
      <c r="J213" s="85"/>
    </row>
    <row r="214" spans="1:10" ht="11.25" customHeight="1" x14ac:dyDescent="0.2">
      <c r="I214" s="85"/>
      <c r="J214" s="85"/>
    </row>
    <row r="215" spans="1:10" ht="13.5" thickBot="1" x14ac:dyDescent="0.25">
      <c r="A215" s="9" t="s">
        <v>51</v>
      </c>
      <c r="I215" s="85"/>
      <c r="J215" s="85"/>
    </row>
    <row r="216" spans="1:10" ht="13.5" thickBot="1" x14ac:dyDescent="0.25">
      <c r="A216" s="60" t="s">
        <v>64</v>
      </c>
      <c r="B216" s="61" t="s">
        <v>65</v>
      </c>
      <c r="C216" s="61" t="s">
        <v>40</v>
      </c>
      <c r="D216" s="62" t="s">
        <v>239</v>
      </c>
      <c r="E216" s="62" t="s">
        <v>66</v>
      </c>
      <c r="F216" s="63" t="s">
        <v>67</v>
      </c>
      <c r="I216" s="85"/>
      <c r="J216" s="85"/>
    </row>
    <row r="217" spans="1:10" x14ac:dyDescent="0.2">
      <c r="A217" s="13" t="s">
        <v>12</v>
      </c>
      <c r="B217" s="14" t="s">
        <v>10</v>
      </c>
      <c r="C217" s="15">
        <f>C196</f>
        <v>1</v>
      </c>
      <c r="D217" s="15">
        <f>0.01*($E$185)</f>
        <v>1300</v>
      </c>
      <c r="E217" s="15">
        <f>C217*D217</f>
        <v>1300</v>
      </c>
      <c r="I217" s="85"/>
      <c r="J217" s="85"/>
    </row>
    <row r="218" spans="1:10" x14ac:dyDescent="0.2">
      <c r="A218" s="16" t="s">
        <v>200</v>
      </c>
      <c r="B218" s="17" t="s">
        <v>10</v>
      </c>
      <c r="C218" s="15">
        <f>C196</f>
        <v>1</v>
      </c>
      <c r="D218" s="89">
        <v>120</v>
      </c>
      <c r="E218" s="18">
        <f>C218*D218</f>
        <v>120</v>
      </c>
      <c r="I218" s="85"/>
      <c r="J218" s="85"/>
    </row>
    <row r="219" spans="1:10" x14ac:dyDescent="0.2">
      <c r="A219" s="16" t="s">
        <v>13</v>
      </c>
      <c r="B219" s="17" t="s">
        <v>10</v>
      </c>
      <c r="C219" s="15">
        <f>C196</f>
        <v>1</v>
      </c>
      <c r="D219" s="89">
        <v>1800</v>
      </c>
      <c r="E219" s="18">
        <f>C219*D219</f>
        <v>1800</v>
      </c>
      <c r="F219" s="31"/>
      <c r="I219" s="85"/>
      <c r="J219" s="85"/>
    </row>
    <row r="220" spans="1:10" ht="13.5" thickBot="1" x14ac:dyDescent="0.25">
      <c r="A220" s="103" t="s">
        <v>14</v>
      </c>
      <c r="B220" s="104" t="s">
        <v>8</v>
      </c>
      <c r="C220" s="104">
        <v>12</v>
      </c>
      <c r="D220" s="105">
        <f>SUM(E217:E219)</f>
        <v>3220</v>
      </c>
      <c r="E220" s="105">
        <f>D220/C220</f>
        <v>268.33333333333331</v>
      </c>
      <c r="I220" s="85"/>
      <c r="J220" s="85"/>
    </row>
    <row r="221" spans="1:10" ht="13.5" thickBot="1" x14ac:dyDescent="0.25">
      <c r="D221" s="124" t="s">
        <v>201</v>
      </c>
      <c r="E221" s="50">
        <f>$B$51</f>
        <v>1</v>
      </c>
      <c r="F221" s="125">
        <f>E220*E221</f>
        <v>268.33333333333331</v>
      </c>
      <c r="I221" s="85"/>
      <c r="J221" s="85"/>
    </row>
    <row r="222" spans="1:10" ht="11.25" customHeight="1" x14ac:dyDescent="0.2">
      <c r="I222" s="85"/>
      <c r="J222" s="85"/>
    </row>
    <row r="223" spans="1:10" x14ac:dyDescent="0.2">
      <c r="A223" s="9" t="s">
        <v>52</v>
      </c>
      <c r="B223" s="32"/>
      <c r="I223" s="85"/>
      <c r="J223" s="85"/>
    </row>
    <row r="224" spans="1:10" x14ac:dyDescent="0.2">
      <c r="B224" s="32"/>
      <c r="I224" s="85"/>
      <c r="J224" s="85"/>
    </row>
    <row r="225" spans="1:10" x14ac:dyDescent="0.2">
      <c r="A225" s="103" t="s">
        <v>125</v>
      </c>
      <c r="B225" s="114">
        <v>200</v>
      </c>
      <c r="I225" s="85"/>
      <c r="J225" s="85"/>
    </row>
    <row r="226" spans="1:10" ht="13.5" thickBot="1" x14ac:dyDescent="0.25">
      <c r="B226" s="32"/>
      <c r="I226" s="85"/>
      <c r="J226" s="85"/>
    </row>
    <row r="227" spans="1:10" ht="13.5" thickBot="1" x14ac:dyDescent="0.25">
      <c r="A227" s="60" t="s">
        <v>64</v>
      </c>
      <c r="B227" s="61" t="s">
        <v>65</v>
      </c>
      <c r="C227" s="61" t="s">
        <v>259</v>
      </c>
      <c r="D227" s="62" t="s">
        <v>239</v>
      </c>
      <c r="E227" s="62" t="s">
        <v>66</v>
      </c>
      <c r="F227" s="63" t="s">
        <v>67</v>
      </c>
      <c r="I227" s="85"/>
      <c r="J227" s="85"/>
    </row>
    <row r="228" spans="1:10" x14ac:dyDescent="0.2">
      <c r="A228" s="13" t="s">
        <v>15</v>
      </c>
      <c r="B228" s="14" t="s">
        <v>16</v>
      </c>
      <c r="C228" s="97">
        <v>2</v>
      </c>
      <c r="D228" s="98">
        <v>3.5489999999999999</v>
      </c>
      <c r="E228" s="15"/>
      <c r="I228" s="85"/>
      <c r="J228" s="85"/>
    </row>
    <row r="229" spans="1:10" x14ac:dyDescent="0.2">
      <c r="A229" s="16" t="s">
        <v>17</v>
      </c>
      <c r="B229" s="17" t="s">
        <v>18</v>
      </c>
      <c r="C229" s="94">
        <f>B225</f>
        <v>200</v>
      </c>
      <c r="D229" s="269">
        <f>IFERROR(+D228/C228,"-")</f>
        <v>1.7745</v>
      </c>
      <c r="E229" s="18">
        <f>IFERROR(C229*D229,"-")</f>
        <v>354.9</v>
      </c>
      <c r="I229" s="85"/>
      <c r="J229" s="85"/>
    </row>
    <row r="230" spans="1:10" x14ac:dyDescent="0.2">
      <c r="A230" s="16" t="s">
        <v>240</v>
      </c>
      <c r="B230" s="17" t="s">
        <v>19</v>
      </c>
      <c r="C230" s="100">
        <v>6</v>
      </c>
      <c r="D230" s="89">
        <v>15.9</v>
      </c>
      <c r="E230" s="18"/>
      <c r="G230" s="112"/>
      <c r="H230" s="52"/>
      <c r="I230" s="85"/>
      <c r="J230" s="85"/>
    </row>
    <row r="231" spans="1:10" x14ac:dyDescent="0.2">
      <c r="A231" s="16" t="s">
        <v>20</v>
      </c>
      <c r="B231" s="17" t="s">
        <v>18</v>
      </c>
      <c r="C231" s="94">
        <f>C229</f>
        <v>200</v>
      </c>
      <c r="D231" s="266">
        <f>+C230*D230/1000</f>
        <v>9.5400000000000013E-2</v>
      </c>
      <c r="E231" s="18">
        <f>C231*D231</f>
        <v>19.080000000000002</v>
      </c>
      <c r="G231" s="112"/>
      <c r="H231" s="52"/>
      <c r="I231" s="85"/>
      <c r="J231" s="85"/>
    </row>
    <row r="232" spans="1:10" x14ac:dyDescent="0.2">
      <c r="A232" s="16" t="s">
        <v>241</v>
      </c>
      <c r="B232" s="17" t="s">
        <v>19</v>
      </c>
      <c r="C232" s="100">
        <v>1</v>
      </c>
      <c r="D232" s="89">
        <v>17</v>
      </c>
      <c r="E232" s="18"/>
      <c r="G232" s="112"/>
      <c r="H232" s="52"/>
      <c r="I232" s="85"/>
      <c r="J232" s="85"/>
    </row>
    <row r="233" spans="1:10" x14ac:dyDescent="0.2">
      <c r="A233" s="16" t="s">
        <v>21</v>
      </c>
      <c r="B233" s="17" t="s">
        <v>18</v>
      </c>
      <c r="C233" s="94">
        <f>C229</f>
        <v>200</v>
      </c>
      <c r="D233" s="266">
        <f>+C232*D232/1000</f>
        <v>1.7000000000000001E-2</v>
      </c>
      <c r="E233" s="18">
        <f>C233*D233</f>
        <v>3.4000000000000004</v>
      </c>
      <c r="G233" s="112"/>
      <c r="H233" s="52"/>
      <c r="I233" s="85"/>
      <c r="J233" s="85"/>
    </row>
    <row r="234" spans="1:10" x14ac:dyDescent="0.2">
      <c r="A234" s="16" t="s">
        <v>242</v>
      </c>
      <c r="B234" s="17" t="s">
        <v>19</v>
      </c>
      <c r="C234" s="100">
        <v>15</v>
      </c>
      <c r="D234" s="89">
        <v>13.9</v>
      </c>
      <c r="E234" s="18"/>
      <c r="G234" s="112"/>
      <c r="H234" s="52"/>
      <c r="I234" s="85"/>
      <c r="J234" s="85"/>
    </row>
    <row r="235" spans="1:10" x14ac:dyDescent="0.2">
      <c r="A235" s="16" t="s">
        <v>22</v>
      </c>
      <c r="B235" s="17" t="s">
        <v>18</v>
      </c>
      <c r="C235" s="94">
        <f>C229</f>
        <v>200</v>
      </c>
      <c r="D235" s="266">
        <f>+C234*D234/1000</f>
        <v>0.20849999999999999</v>
      </c>
      <c r="E235" s="18">
        <f>C235*D235</f>
        <v>41.699999999999996</v>
      </c>
      <c r="G235" s="112"/>
      <c r="H235" s="52"/>
      <c r="I235" s="85"/>
      <c r="J235" s="85"/>
    </row>
    <row r="236" spans="1:10" x14ac:dyDescent="0.2">
      <c r="A236" s="16" t="s">
        <v>23</v>
      </c>
      <c r="B236" s="17" t="s">
        <v>24</v>
      </c>
      <c r="C236" s="100">
        <v>2</v>
      </c>
      <c r="D236" s="89">
        <v>8.9</v>
      </c>
      <c r="E236" s="18"/>
      <c r="G236" s="112"/>
      <c r="H236" s="52"/>
      <c r="I236" s="85"/>
      <c r="J236" s="85"/>
    </row>
    <row r="237" spans="1:10" x14ac:dyDescent="0.2">
      <c r="A237" s="16" t="s">
        <v>25</v>
      </c>
      <c r="B237" s="17" t="s">
        <v>18</v>
      </c>
      <c r="C237" s="94">
        <f>C229</f>
        <v>200</v>
      </c>
      <c r="D237" s="266">
        <f>+C236*D236/1000</f>
        <v>1.78E-2</v>
      </c>
      <c r="E237" s="18">
        <f>C237*D237</f>
        <v>3.56</v>
      </c>
      <c r="G237" s="112"/>
      <c r="H237" s="52"/>
      <c r="I237" s="85"/>
      <c r="J237" s="85"/>
    </row>
    <row r="238" spans="1:10" ht="13.5" thickBot="1" x14ac:dyDescent="0.25">
      <c r="A238" s="103" t="s">
        <v>258</v>
      </c>
      <c r="B238" s="104" t="s">
        <v>126</v>
      </c>
      <c r="C238" s="267"/>
      <c r="D238" s="268">
        <f>IFERROR(D229+D231+D233+D235+D237,0)</f>
        <v>2.1131999999999995</v>
      </c>
      <c r="E238" s="18"/>
      <c r="G238" s="112"/>
      <c r="H238" s="52"/>
      <c r="I238" s="85"/>
      <c r="J238" s="85"/>
    </row>
    <row r="239" spans="1:10" ht="13.5" thickBot="1" x14ac:dyDescent="0.25">
      <c r="F239" s="21">
        <f>SUM(E228:E237)</f>
        <v>422.63999999999993</v>
      </c>
      <c r="I239" s="85"/>
      <c r="J239" s="85"/>
    </row>
    <row r="240" spans="1:10" ht="11.25" customHeight="1" x14ac:dyDescent="0.2">
      <c r="I240" s="85"/>
      <c r="J240" s="85"/>
    </row>
    <row r="241" spans="1:10" ht="13.5" thickBot="1" x14ac:dyDescent="0.25">
      <c r="A241" s="9" t="s">
        <v>53</v>
      </c>
      <c r="I241" s="85"/>
      <c r="J241" s="85"/>
    </row>
    <row r="242" spans="1:10" ht="13.5" thickBot="1" x14ac:dyDescent="0.25">
      <c r="A242" s="60" t="s">
        <v>64</v>
      </c>
      <c r="B242" s="61" t="s">
        <v>65</v>
      </c>
      <c r="C242" s="61" t="s">
        <v>40</v>
      </c>
      <c r="D242" s="62" t="s">
        <v>239</v>
      </c>
      <c r="E242" s="62" t="s">
        <v>66</v>
      </c>
      <c r="F242" s="63" t="s">
        <v>67</v>
      </c>
      <c r="I242" s="85"/>
      <c r="J242" s="85"/>
    </row>
    <row r="243" spans="1:10" ht="13.5" thickBot="1" x14ac:dyDescent="0.25">
      <c r="A243" s="13" t="s">
        <v>124</v>
      </c>
      <c r="B243" s="14" t="s">
        <v>126</v>
      </c>
      <c r="C243" s="94">
        <f>C229</f>
        <v>200</v>
      </c>
      <c r="D243" s="87">
        <v>1.1299999999999999</v>
      </c>
      <c r="E243" s="15">
        <f>C243*D243</f>
        <v>225.99999999999997</v>
      </c>
      <c r="I243" s="85"/>
      <c r="J243" s="85"/>
    </row>
    <row r="244" spans="1:10" ht="13.5" thickBot="1" x14ac:dyDescent="0.25">
      <c r="F244" s="21">
        <f>E243</f>
        <v>225.99999999999997</v>
      </c>
      <c r="I244" s="85"/>
      <c r="J244" s="85"/>
    </row>
    <row r="245" spans="1:10" ht="11.25" customHeight="1" x14ac:dyDescent="0.2">
      <c r="I245" s="85"/>
      <c r="J245" s="85"/>
    </row>
    <row r="246" spans="1:10" ht="13.5" thickBot="1" x14ac:dyDescent="0.25">
      <c r="A246" s="9" t="s">
        <v>62</v>
      </c>
      <c r="I246" s="85"/>
      <c r="J246" s="85"/>
    </row>
    <row r="247" spans="1:10" ht="13.5" thickBot="1" x14ac:dyDescent="0.25">
      <c r="A247" s="60" t="s">
        <v>64</v>
      </c>
      <c r="B247" s="61" t="s">
        <v>65</v>
      </c>
      <c r="C247" s="61" t="s">
        <v>40</v>
      </c>
      <c r="D247" s="62" t="s">
        <v>239</v>
      </c>
      <c r="E247" s="62" t="s">
        <v>66</v>
      </c>
      <c r="F247" s="63" t="s">
        <v>67</v>
      </c>
      <c r="I247" s="85"/>
      <c r="J247" s="85"/>
    </row>
    <row r="248" spans="1:10" x14ac:dyDescent="0.2">
      <c r="A248" s="13" t="s">
        <v>98</v>
      </c>
      <c r="B248" s="14" t="s">
        <v>10</v>
      </c>
      <c r="C248" s="96">
        <v>6</v>
      </c>
      <c r="D248" s="87">
        <v>1490</v>
      </c>
      <c r="E248" s="15">
        <f>C248*D248</f>
        <v>8940</v>
      </c>
      <c r="I248" s="85"/>
      <c r="J248" s="85"/>
    </row>
    <row r="249" spans="1:10" x14ac:dyDescent="0.2">
      <c r="A249" s="13" t="s">
        <v>127</v>
      </c>
      <c r="B249" s="14" t="s">
        <v>10</v>
      </c>
      <c r="C249" s="96">
        <v>2</v>
      </c>
      <c r="D249" s="106"/>
      <c r="E249" s="15"/>
      <c r="I249" s="85"/>
      <c r="J249" s="85"/>
    </row>
    <row r="250" spans="1:10" x14ac:dyDescent="0.2">
      <c r="A250" s="13" t="s">
        <v>71</v>
      </c>
      <c r="B250" s="14" t="s">
        <v>10</v>
      </c>
      <c r="C250" s="15">
        <f>C248*C249</f>
        <v>12</v>
      </c>
      <c r="D250" s="87">
        <v>350</v>
      </c>
      <c r="E250" s="15">
        <f>C250*D250</f>
        <v>4200</v>
      </c>
      <c r="I250" s="85"/>
      <c r="J250" s="85"/>
    </row>
    <row r="251" spans="1:10" x14ac:dyDescent="0.2">
      <c r="A251" s="16" t="s">
        <v>99</v>
      </c>
      <c r="B251" s="17" t="s">
        <v>26</v>
      </c>
      <c r="C251" s="99">
        <v>50000</v>
      </c>
      <c r="D251" s="18">
        <f>E248+E250</f>
        <v>13140</v>
      </c>
      <c r="E251" s="18">
        <f>IFERROR(D251/C251,"-")</f>
        <v>0.26279999999999998</v>
      </c>
      <c r="I251" s="85"/>
      <c r="J251" s="85"/>
    </row>
    <row r="252" spans="1:10" ht="13.5" thickBot="1" x14ac:dyDescent="0.25">
      <c r="A252" s="16" t="s">
        <v>55</v>
      </c>
      <c r="B252" s="17" t="s">
        <v>18</v>
      </c>
      <c r="C252" s="94">
        <f>B225</f>
        <v>200</v>
      </c>
      <c r="D252" s="18">
        <f>E251</f>
        <v>0.26279999999999998</v>
      </c>
      <c r="E252" s="18">
        <f>IFERROR(C252*D252,0)</f>
        <v>52.559999999999995</v>
      </c>
      <c r="I252" s="85"/>
      <c r="J252" s="85"/>
    </row>
    <row r="253" spans="1:10" ht="13.5" thickBot="1" x14ac:dyDescent="0.25">
      <c r="F253" s="21">
        <f>E252</f>
        <v>52.559999999999995</v>
      </c>
      <c r="I253" s="85"/>
      <c r="J253" s="85"/>
    </row>
    <row r="254" spans="1:10" ht="11.25" customHeight="1" x14ac:dyDescent="0.2">
      <c r="I254" s="85"/>
      <c r="J254" s="85"/>
    </row>
    <row r="255" spans="1:10" ht="11.25" customHeight="1" thickBot="1" x14ac:dyDescent="0.25">
      <c r="G255" s="9"/>
    </row>
    <row r="256" spans="1:10" ht="13.5" thickBot="1" x14ac:dyDescent="0.25">
      <c r="A256" s="24" t="s">
        <v>227</v>
      </c>
      <c r="B256" s="25"/>
      <c r="C256" s="25"/>
      <c r="D256" s="26"/>
      <c r="E256" s="27"/>
      <c r="F256" s="21">
        <f>+SUM(F185:F255)</f>
        <v>2472.333333333333</v>
      </c>
      <c r="G256" s="9"/>
    </row>
    <row r="257" spans="1:7" ht="11.25" customHeight="1" x14ac:dyDescent="0.2">
      <c r="G257" s="9"/>
    </row>
    <row r="258" spans="1:7" x14ac:dyDescent="0.2">
      <c r="A258" s="34" t="s">
        <v>75</v>
      </c>
      <c r="B258" s="34"/>
      <c r="C258" s="34"/>
      <c r="D258" s="35"/>
      <c r="E258" s="35"/>
      <c r="F258" s="33"/>
      <c r="G258" s="9"/>
    </row>
    <row r="259" spans="1:7" ht="11.25" customHeight="1" thickBot="1" x14ac:dyDescent="0.25">
      <c r="G259" s="9"/>
    </row>
    <row r="260" spans="1:7" ht="13.5" thickBot="1" x14ac:dyDescent="0.25">
      <c r="A260" s="60" t="s">
        <v>64</v>
      </c>
      <c r="B260" s="61" t="s">
        <v>65</v>
      </c>
      <c r="C260" s="61" t="s">
        <v>40</v>
      </c>
      <c r="D260" s="62" t="s">
        <v>239</v>
      </c>
      <c r="E260" s="62" t="s">
        <v>66</v>
      </c>
      <c r="F260" s="63" t="s">
        <v>67</v>
      </c>
      <c r="G260" s="9"/>
    </row>
    <row r="261" spans="1:7" x14ac:dyDescent="0.2">
      <c r="A261" s="16" t="s">
        <v>72</v>
      </c>
      <c r="B261" s="17" t="s">
        <v>10</v>
      </c>
      <c r="C261" s="101">
        <v>8.3333333333333329E-2</v>
      </c>
      <c r="D261" s="87">
        <v>27.9</v>
      </c>
      <c r="E261" s="18">
        <f>C261*D261</f>
        <v>2.3249999999999997</v>
      </c>
      <c r="F261" s="55"/>
      <c r="G261" s="9"/>
    </row>
    <row r="262" spans="1:7" x14ac:dyDescent="0.2">
      <c r="A262" s="16" t="s">
        <v>27</v>
      </c>
      <c r="B262" s="17" t="s">
        <v>10</v>
      </c>
      <c r="C262" s="101">
        <v>0.33333333333333331</v>
      </c>
      <c r="D262" s="87">
        <v>26.5</v>
      </c>
      <c r="E262" s="18">
        <f>C262*D262</f>
        <v>8.8333333333333321</v>
      </c>
      <c r="F262" s="55"/>
      <c r="G262" s="9"/>
    </row>
    <row r="263" spans="1:7" x14ac:dyDescent="0.2">
      <c r="A263" s="16" t="s">
        <v>28</v>
      </c>
      <c r="B263" s="17" t="s">
        <v>10</v>
      </c>
      <c r="C263" s="101">
        <v>0.33333333333333331</v>
      </c>
      <c r="D263" s="87">
        <v>18.899999999999999</v>
      </c>
      <c r="E263" s="18">
        <f>C263*D263</f>
        <v>6.2999999999999989</v>
      </c>
      <c r="F263" s="55"/>
      <c r="G263" s="9"/>
    </row>
    <row r="264" spans="1:7" x14ac:dyDescent="0.2">
      <c r="A264" s="16" t="s">
        <v>57</v>
      </c>
      <c r="B264" s="17" t="s">
        <v>58</v>
      </c>
      <c r="C264" s="101">
        <v>8.3333333333333329E-2</v>
      </c>
      <c r="D264" s="87">
        <v>1200</v>
      </c>
      <c r="E264" s="18">
        <f>C264*D264</f>
        <v>100</v>
      </c>
      <c r="F264" s="55"/>
      <c r="G264" s="9"/>
    </row>
    <row r="265" spans="1:7" ht="13.5" thickBot="1" x14ac:dyDescent="0.25">
      <c r="A265" s="16" t="s">
        <v>60</v>
      </c>
      <c r="B265" s="17" t="s">
        <v>58</v>
      </c>
      <c r="C265" s="101">
        <v>8.3333333333333329E-2</v>
      </c>
      <c r="D265" s="87">
        <v>1000</v>
      </c>
      <c r="E265" s="18">
        <f>C265*D265</f>
        <v>83.333333333333329</v>
      </c>
      <c r="F265" s="55"/>
      <c r="G265" s="9"/>
    </row>
    <row r="266" spans="1:7" ht="13.5" thickBot="1" x14ac:dyDescent="0.25">
      <c r="A266" s="34"/>
      <c r="B266" s="34"/>
      <c r="C266" s="34"/>
      <c r="D266" s="34"/>
      <c r="E266" s="35"/>
      <c r="F266" s="21">
        <f>SUM(E261:E265)</f>
        <v>200.79166666666666</v>
      </c>
      <c r="G266" s="9"/>
    </row>
    <row r="267" spans="1:7" ht="11.25" customHeight="1" thickBot="1" x14ac:dyDescent="0.25">
      <c r="G267" s="9"/>
    </row>
    <row r="268" spans="1:7" ht="13.5" thickBot="1" x14ac:dyDescent="0.25">
      <c r="A268" s="24" t="s">
        <v>228</v>
      </c>
      <c r="B268" s="25"/>
      <c r="C268" s="25"/>
      <c r="D268" s="26"/>
      <c r="E268" s="27"/>
      <c r="F268" s="21">
        <f>+F266</f>
        <v>200.79166666666666</v>
      </c>
      <c r="G268" s="9"/>
    </row>
    <row r="269" spans="1:7" ht="11.25" customHeight="1" x14ac:dyDescent="0.2">
      <c r="G269" s="9"/>
    </row>
    <row r="270" spans="1:7" x14ac:dyDescent="0.2">
      <c r="A270" s="34" t="s">
        <v>76</v>
      </c>
      <c r="B270" s="34"/>
      <c r="C270" s="34"/>
      <c r="D270" s="35"/>
      <c r="E270" s="35"/>
      <c r="F270" s="33"/>
    </row>
    <row r="271" spans="1:7" ht="11.25" customHeight="1" thickBot="1" x14ac:dyDescent="0.25"/>
    <row r="272" spans="1:7" ht="13.5" thickBot="1" x14ac:dyDescent="0.25">
      <c r="A272" s="60" t="s">
        <v>64</v>
      </c>
      <c r="B272" s="61" t="s">
        <v>65</v>
      </c>
      <c r="C272" s="61" t="s">
        <v>40</v>
      </c>
      <c r="D272" s="62" t="s">
        <v>239</v>
      </c>
      <c r="E272" s="62" t="s">
        <v>66</v>
      </c>
      <c r="F272" s="63" t="s">
        <v>67</v>
      </c>
    </row>
    <row r="273" spans="1:7" x14ac:dyDescent="0.2">
      <c r="A273" s="16" t="s">
        <v>225</v>
      </c>
      <c r="B273" s="53" t="s">
        <v>58</v>
      </c>
      <c r="C273" s="69">
        <f>C185</f>
        <v>1</v>
      </c>
      <c r="D273" s="89">
        <v>200</v>
      </c>
      <c r="E273" s="18">
        <f>+D273*C273</f>
        <v>200</v>
      </c>
      <c r="F273" s="55"/>
    </row>
    <row r="274" spans="1:7" x14ac:dyDescent="0.2">
      <c r="A274" s="16" t="s">
        <v>61</v>
      </c>
      <c r="B274" s="53" t="s">
        <v>8</v>
      </c>
      <c r="C274" s="155">
        <v>60</v>
      </c>
      <c r="D274" s="80">
        <f>SUM(E273:E273)</f>
        <v>200</v>
      </c>
      <c r="E274" s="80">
        <f>+D274/C274</f>
        <v>3.3333333333333335</v>
      </c>
      <c r="F274" s="55"/>
    </row>
    <row r="275" spans="1:7" x14ac:dyDescent="0.2">
      <c r="A275" s="16" t="s">
        <v>226</v>
      </c>
      <c r="B275" s="17" t="s">
        <v>10</v>
      </c>
      <c r="C275" s="69">
        <f>+C273</f>
        <v>1</v>
      </c>
      <c r="D275" s="89">
        <v>100</v>
      </c>
      <c r="E275" s="18">
        <f>C275*D275</f>
        <v>100</v>
      </c>
      <c r="F275" s="55"/>
    </row>
    <row r="276" spans="1:7" ht="13.5" thickBot="1" x14ac:dyDescent="0.25">
      <c r="A276" s="16" t="s">
        <v>37</v>
      </c>
      <c r="B276" s="53" t="s">
        <v>8</v>
      </c>
      <c r="C276" s="155">
        <v>1</v>
      </c>
      <c r="D276" s="80">
        <f>+E275</f>
        <v>100</v>
      </c>
      <c r="E276" s="80">
        <f>+D276/C276</f>
        <v>100</v>
      </c>
      <c r="F276" s="55"/>
    </row>
    <row r="277" spans="1:7" ht="13.5" thickBot="1" x14ac:dyDescent="0.25">
      <c r="A277" s="81"/>
      <c r="B277" s="81"/>
      <c r="C277" s="81"/>
      <c r="D277" s="124" t="s">
        <v>201</v>
      </c>
      <c r="E277" s="50">
        <f>$B$51</f>
        <v>1</v>
      </c>
      <c r="F277" s="82">
        <f>(E274+E276)*E277</f>
        <v>103.33333333333333</v>
      </c>
    </row>
    <row r="278" spans="1:7" s="51" customFormat="1" ht="11.25" customHeight="1" thickBot="1" x14ac:dyDescent="0.25">
      <c r="A278" s="9"/>
      <c r="B278" s="9"/>
      <c r="C278" s="9"/>
      <c r="D278" s="10"/>
      <c r="E278" s="10"/>
      <c r="F278" s="10"/>
      <c r="G278" s="84"/>
    </row>
    <row r="279" spans="1:7" ht="13.5" thickBot="1" x14ac:dyDescent="0.25">
      <c r="A279" s="24" t="s">
        <v>224</v>
      </c>
      <c r="B279" s="25"/>
      <c r="C279" s="25"/>
      <c r="D279" s="26"/>
      <c r="E279" s="27"/>
      <c r="F279" s="21">
        <f>+F277</f>
        <v>103.33333333333333</v>
      </c>
    </row>
    <row r="280" spans="1:7" ht="11.25" customHeight="1" thickBot="1" x14ac:dyDescent="0.25"/>
    <row r="281" spans="1:7" ht="17.25" customHeight="1" thickBot="1" x14ac:dyDescent="0.25">
      <c r="A281" s="24" t="s">
        <v>229</v>
      </c>
      <c r="B281" s="28"/>
      <c r="C281" s="28"/>
      <c r="D281" s="29"/>
      <c r="E281" s="30"/>
      <c r="F281" s="22">
        <f>+F143+F177+F256+F268+F279</f>
        <v>14344.741760895013</v>
      </c>
    </row>
    <row r="282" spans="1:7" ht="11.25" customHeight="1" x14ac:dyDescent="0.2"/>
    <row r="283" spans="1:7" x14ac:dyDescent="0.2">
      <c r="A283" s="11" t="s">
        <v>91</v>
      </c>
    </row>
    <row r="284" spans="1:7" ht="11.25" customHeight="1" thickBot="1" x14ac:dyDescent="0.25"/>
    <row r="285" spans="1:7" ht="13.5" thickBot="1" x14ac:dyDescent="0.25">
      <c r="A285" s="60" t="s">
        <v>64</v>
      </c>
      <c r="B285" s="61" t="s">
        <v>65</v>
      </c>
      <c r="C285" s="61" t="s">
        <v>40</v>
      </c>
      <c r="D285" s="62" t="s">
        <v>239</v>
      </c>
      <c r="E285" s="62" t="s">
        <v>66</v>
      </c>
      <c r="F285" s="63" t="s">
        <v>67</v>
      </c>
    </row>
    <row r="286" spans="1:7" ht="13.5" thickBot="1" x14ac:dyDescent="0.25">
      <c r="A286" s="13" t="s">
        <v>36</v>
      </c>
      <c r="B286" s="14" t="s">
        <v>2</v>
      </c>
      <c r="C286" s="141">
        <f>'4.BDI'!C20*100</f>
        <v>24.02</v>
      </c>
      <c r="D286" s="15">
        <f>+F281</f>
        <v>14344.741760895013</v>
      </c>
      <c r="E286" s="15">
        <f>C286*D286/100</f>
        <v>3445.6069709669823</v>
      </c>
    </row>
    <row r="287" spans="1:7" ht="13.5" thickBot="1" x14ac:dyDescent="0.25">
      <c r="F287" s="21">
        <f>+E286</f>
        <v>3445.6069709669823</v>
      </c>
    </row>
    <row r="288" spans="1:7" ht="11.25" customHeight="1" thickBot="1" x14ac:dyDescent="0.25"/>
    <row r="289" spans="1:7" ht="13.5" thickBot="1" x14ac:dyDescent="0.25">
      <c r="A289" s="24" t="s">
        <v>244</v>
      </c>
      <c r="B289" s="28"/>
      <c r="C289" s="28"/>
      <c r="D289" s="29"/>
      <c r="E289" s="30"/>
      <c r="F289" s="22">
        <f>F287</f>
        <v>3445.6069709669823</v>
      </c>
    </row>
    <row r="290" spans="1:7" x14ac:dyDescent="0.2">
      <c r="A290" s="34"/>
      <c r="B290" s="34"/>
      <c r="C290" s="34"/>
      <c r="D290" s="35"/>
      <c r="E290" s="35"/>
      <c r="F290" s="33"/>
    </row>
    <row r="291" spans="1:7" ht="11.25" customHeight="1" thickBot="1" x14ac:dyDescent="0.25"/>
    <row r="292" spans="1:7" ht="24.75" customHeight="1" thickBot="1" x14ac:dyDescent="0.25">
      <c r="A292" s="24" t="s">
        <v>230</v>
      </c>
      <c r="B292" s="28"/>
      <c r="C292" s="28"/>
      <c r="D292" s="29"/>
      <c r="E292" s="30"/>
      <c r="F292" s="22">
        <f>F281+F289</f>
        <v>17790.348731861995</v>
      </c>
    </row>
    <row r="293" spans="1:7" ht="12.6" customHeight="1" x14ac:dyDescent="0.2">
      <c r="A293" s="56"/>
      <c r="B293" s="56"/>
      <c r="C293" s="56"/>
      <c r="D293" s="57"/>
      <c r="E293" s="57"/>
      <c r="F293" s="57"/>
    </row>
    <row r="294" spans="1:7" ht="14.25" x14ac:dyDescent="0.2">
      <c r="A294" s="8"/>
      <c r="B294" s="8"/>
      <c r="C294" s="8"/>
      <c r="D294" s="36"/>
      <c r="E294" s="36"/>
    </row>
    <row r="296" spans="1:7" ht="12.6" customHeight="1" x14ac:dyDescent="0.2">
      <c r="A296" s="34"/>
      <c r="B296" s="34"/>
      <c r="C296" s="34"/>
      <c r="D296" s="35"/>
      <c r="E296" s="35"/>
      <c r="F296" s="35"/>
    </row>
    <row r="297" spans="1:7" s="4" customFormat="1" ht="9.75" customHeight="1" x14ac:dyDescent="0.2">
      <c r="A297" s="39"/>
      <c r="B297" s="10"/>
      <c r="C297" s="10"/>
      <c r="D297" s="10"/>
      <c r="E297" s="10"/>
      <c r="F297" s="10"/>
      <c r="G297" s="6"/>
    </row>
    <row r="298" spans="1:7" s="4" customFormat="1" ht="9.75" customHeight="1" x14ac:dyDescent="0.2">
      <c r="A298" s="39"/>
      <c r="B298" s="10"/>
      <c r="C298" s="10"/>
      <c r="D298" s="10"/>
      <c r="E298" s="10"/>
      <c r="F298" s="10"/>
      <c r="G298" s="6"/>
    </row>
    <row r="299" spans="1:7" s="4" customFormat="1" ht="9.75" customHeight="1" x14ac:dyDescent="0.2">
      <c r="A299" s="39"/>
      <c r="B299" s="10"/>
      <c r="C299" s="10"/>
      <c r="D299" s="10"/>
      <c r="E299" s="10"/>
      <c r="F299" s="10"/>
      <c r="G299" s="6"/>
    </row>
    <row r="329" spans="4:7" ht="9" customHeight="1" x14ac:dyDescent="0.2">
      <c r="D329" s="9"/>
      <c r="E329" s="9"/>
      <c r="F329" s="9"/>
      <c r="G329" s="9"/>
    </row>
  </sheetData>
  <mergeCells count="8">
    <mergeCell ref="A7:F8"/>
    <mergeCell ref="A47:D47"/>
    <mergeCell ref="A24:C24"/>
    <mergeCell ref="A11:F11"/>
    <mergeCell ref="A12:F12"/>
    <mergeCell ref="A40:D40"/>
    <mergeCell ref="A14:F14"/>
    <mergeCell ref="A39:E39"/>
  </mergeCells>
  <phoneticPr fontId="9" type="noConversion"/>
  <hyperlinks>
    <hyperlink ref="A199" location="AbaRemun" display="3.1.2. Remuneração do Capital"/>
    <hyperlink ref="A183" location="AbaDeprec" display="3.1.1. Depreciação"/>
  </hyperlinks>
  <pageMargins left="0.9055118110236221" right="0.51181102362204722" top="0.74803149606299213" bottom="0.74803149606299213" header="0.31496062992125984" footer="0.31496062992125984"/>
  <pageSetup paperSize="9" scale="76" fitToHeight="0" orientation="portrait" horizontalDpi="4294967295" verticalDpi="4294967295" r:id="rId1"/>
  <headerFooter alignWithMargins="0">
    <oddFooter>&amp;R&amp;P de &amp;N</oddFooter>
  </headerFooter>
  <rowBreaks count="4" manualBreakCount="4">
    <brk id="52" max="5" man="1"/>
    <brk id="122" max="5" man="1"/>
    <brk id="178" max="5" man="1"/>
    <brk id="245" max="5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sqref="A1:B5"/>
    </sheetView>
  </sheetViews>
  <sheetFormatPr defaultRowHeight="12.75" x14ac:dyDescent="0.2"/>
  <cols>
    <col min="1" max="1" width="13.5703125" style="1" customWidth="1"/>
    <col min="2" max="2" width="39.5703125" style="1" bestFit="1" customWidth="1"/>
    <col min="3" max="3" width="14.5703125" style="1" customWidth="1"/>
    <col min="4" max="4" width="37.28515625" style="158" customWidth="1"/>
    <col min="5" max="10" width="9.140625" style="1"/>
    <col min="11" max="11" width="11" style="1" bestFit="1" customWidth="1"/>
    <col min="12" max="16384" width="9.140625" style="1"/>
  </cols>
  <sheetData>
    <row r="1" spans="1:12" x14ac:dyDescent="0.2">
      <c r="A1" s="11"/>
    </row>
    <row r="2" spans="1:12" x14ac:dyDescent="0.2">
      <c r="A2" s="140"/>
    </row>
    <row r="3" spans="1:12" s="4" customFormat="1" ht="15.6" customHeight="1" x14ac:dyDescent="0.2">
      <c r="B3" s="139"/>
      <c r="C3" s="139"/>
      <c r="D3" s="139"/>
      <c r="E3" s="139"/>
      <c r="F3" s="139"/>
      <c r="G3" s="6"/>
    </row>
    <row r="4" spans="1:12" s="4" customFormat="1" ht="15.6" customHeight="1" x14ac:dyDescent="0.2">
      <c r="A4" s="301"/>
      <c r="B4" s="139"/>
      <c r="C4" s="139"/>
      <c r="D4" s="139"/>
      <c r="E4" s="139"/>
      <c r="F4" s="139"/>
      <c r="G4" s="6"/>
    </row>
    <row r="5" spans="1:12" s="4" customFormat="1" ht="16.5" customHeight="1" x14ac:dyDescent="0.2">
      <c r="A5" s="301"/>
      <c r="B5" s="5"/>
      <c r="C5" s="5"/>
      <c r="D5" s="6"/>
      <c r="E5" s="6"/>
      <c r="F5" s="6"/>
      <c r="G5" s="6"/>
    </row>
    <row r="6" spans="1:12" ht="13.5" thickBot="1" x14ac:dyDescent="0.25"/>
    <row r="7" spans="1:12" ht="18" x14ac:dyDescent="0.2">
      <c r="A7" s="328" t="s">
        <v>233</v>
      </c>
      <c r="B7" s="329"/>
      <c r="C7" s="330"/>
      <c r="D7" s="150"/>
      <c r="E7" s="150"/>
      <c r="F7" s="150"/>
    </row>
    <row r="8" spans="1:12" ht="14.25" x14ac:dyDescent="0.2">
      <c r="A8" s="169" t="s">
        <v>147</v>
      </c>
      <c r="B8" s="170" t="s">
        <v>148</v>
      </c>
      <c r="C8" s="171" t="s">
        <v>149</v>
      </c>
      <c r="D8" s="172"/>
    </row>
    <row r="9" spans="1:12" ht="14.25" x14ac:dyDescent="0.2">
      <c r="A9" s="169" t="s">
        <v>150</v>
      </c>
      <c r="B9" s="170" t="s">
        <v>41</v>
      </c>
      <c r="C9" s="173">
        <v>0.2</v>
      </c>
      <c r="D9" s="172"/>
      <c r="F9" s="158"/>
      <c r="G9" s="158"/>
      <c r="H9" s="158"/>
      <c r="I9" s="158"/>
      <c r="J9" s="158"/>
      <c r="K9" s="158"/>
      <c r="L9" s="158"/>
    </row>
    <row r="10" spans="1:12" ht="14.25" x14ac:dyDescent="0.2">
      <c r="A10" s="169" t="s">
        <v>151</v>
      </c>
      <c r="B10" s="170" t="s">
        <v>152</v>
      </c>
      <c r="C10" s="173">
        <v>1.4999999999999999E-2</v>
      </c>
      <c r="D10" s="172"/>
      <c r="F10" s="158"/>
      <c r="G10" s="158"/>
      <c r="H10" s="158"/>
      <c r="I10" s="158"/>
      <c r="J10" s="158"/>
      <c r="K10" s="158"/>
      <c r="L10" s="158"/>
    </row>
    <row r="11" spans="1:12" ht="14.25" x14ac:dyDescent="0.2">
      <c r="A11" s="169" t="s">
        <v>153</v>
      </c>
      <c r="B11" s="170" t="s">
        <v>154</v>
      </c>
      <c r="C11" s="173">
        <v>0.01</v>
      </c>
      <c r="D11" s="172"/>
      <c r="F11" s="158"/>
      <c r="G11" s="158"/>
      <c r="H11" s="158"/>
      <c r="I11" s="158"/>
      <c r="J11" s="158"/>
      <c r="K11" s="158"/>
      <c r="L11" s="158"/>
    </row>
    <row r="12" spans="1:12" ht="14.25" x14ac:dyDescent="0.2">
      <c r="A12" s="169" t="s">
        <v>155</v>
      </c>
      <c r="B12" s="170" t="s">
        <v>156</v>
      </c>
      <c r="C12" s="173">
        <v>2E-3</v>
      </c>
      <c r="D12" s="172"/>
      <c r="F12" s="158"/>
      <c r="G12" s="158"/>
      <c r="H12" s="158"/>
      <c r="I12" s="158"/>
      <c r="J12" s="158"/>
      <c r="K12" s="158"/>
      <c r="L12" s="158"/>
    </row>
    <row r="13" spans="1:12" ht="14.25" x14ac:dyDescent="0.2">
      <c r="A13" s="169" t="s">
        <v>157</v>
      </c>
      <c r="B13" s="170" t="s">
        <v>158</v>
      </c>
      <c r="C13" s="173">
        <v>6.0000000000000001E-3</v>
      </c>
      <c r="D13" s="172"/>
      <c r="F13" s="158"/>
      <c r="G13" s="158"/>
      <c r="H13" s="158"/>
      <c r="I13" s="158"/>
      <c r="J13" s="158"/>
      <c r="K13" s="158"/>
      <c r="L13" s="158"/>
    </row>
    <row r="14" spans="1:12" ht="14.25" x14ac:dyDescent="0.2">
      <c r="A14" s="169" t="s">
        <v>159</v>
      </c>
      <c r="B14" s="170" t="s">
        <v>160</v>
      </c>
      <c r="C14" s="173">
        <v>2.5000000000000001E-2</v>
      </c>
      <c r="D14" s="172"/>
      <c r="F14" s="158"/>
      <c r="G14" s="158"/>
      <c r="H14" s="158"/>
      <c r="I14" s="158"/>
      <c r="J14" s="158"/>
      <c r="K14" s="158"/>
      <c r="L14" s="158"/>
    </row>
    <row r="15" spans="1:12" ht="14.25" x14ac:dyDescent="0.2">
      <c r="A15" s="169" t="s">
        <v>161</v>
      </c>
      <c r="B15" s="170" t="s">
        <v>162</v>
      </c>
      <c r="C15" s="173">
        <v>0.03</v>
      </c>
      <c r="D15" s="172"/>
      <c r="F15" s="158"/>
      <c r="G15" s="158"/>
      <c r="H15" s="158"/>
      <c r="I15" s="158"/>
      <c r="J15" s="158"/>
      <c r="K15" s="158"/>
      <c r="L15" s="158"/>
    </row>
    <row r="16" spans="1:12" ht="14.25" x14ac:dyDescent="0.2">
      <c r="A16" s="169" t="s">
        <v>163</v>
      </c>
      <c r="B16" s="170" t="s">
        <v>42</v>
      </c>
      <c r="C16" s="173">
        <v>0.08</v>
      </c>
      <c r="D16" s="174"/>
      <c r="F16" s="158"/>
      <c r="G16" s="158"/>
      <c r="H16" s="158"/>
      <c r="I16" s="158"/>
      <c r="J16" s="158"/>
      <c r="K16" s="158"/>
      <c r="L16" s="158"/>
    </row>
    <row r="17" spans="1:12" ht="15" x14ac:dyDescent="0.2">
      <c r="A17" s="169" t="s">
        <v>164</v>
      </c>
      <c r="B17" s="175" t="s">
        <v>165</v>
      </c>
      <c r="C17" s="176">
        <f>SUM(C9:C16)</f>
        <v>0.36800000000000005</v>
      </c>
      <c r="D17" s="174"/>
      <c r="F17" s="158"/>
      <c r="G17" s="158"/>
      <c r="H17" s="158"/>
      <c r="I17" s="158"/>
      <c r="J17" s="158"/>
      <c r="K17" s="158"/>
      <c r="L17" s="158"/>
    </row>
    <row r="18" spans="1:12" ht="15" x14ac:dyDescent="0.2">
      <c r="A18" s="177"/>
      <c r="B18" s="178"/>
      <c r="C18" s="179"/>
      <c r="D18" s="174"/>
      <c r="F18" s="158"/>
      <c r="G18" s="158"/>
      <c r="H18" s="158"/>
      <c r="I18" s="158"/>
      <c r="J18" s="158"/>
      <c r="K18" s="158"/>
      <c r="L18" s="158"/>
    </row>
    <row r="19" spans="1:12" ht="14.25" x14ac:dyDescent="0.2">
      <c r="A19" s="169" t="s">
        <v>166</v>
      </c>
      <c r="B19" s="180" t="s">
        <v>167</v>
      </c>
      <c r="C19" s="173">
        <f>ROUND(IF('3.CAGED'!C28&gt;24,(1-12/'3.CAGED'!C28)*0.1111,0.1111-C28),4)</f>
        <v>6.1899999999999997E-2</v>
      </c>
      <c r="D19" s="174"/>
      <c r="F19" s="158"/>
      <c r="G19" s="158"/>
      <c r="H19" s="158"/>
      <c r="I19" s="158"/>
      <c r="J19" s="158"/>
      <c r="K19" s="158"/>
      <c r="L19" s="158"/>
    </row>
    <row r="20" spans="1:12" ht="14.25" x14ac:dyDescent="0.2">
      <c r="A20" s="169" t="s">
        <v>168</v>
      </c>
      <c r="B20" s="180" t="s">
        <v>169</v>
      </c>
      <c r="C20" s="173">
        <f>ROUND('3.CAGED'!C32/'3.CAGED'!C29,4)</f>
        <v>8.3299999999999999E-2</v>
      </c>
      <c r="D20" s="174"/>
      <c r="F20" s="158"/>
      <c r="G20" s="158"/>
      <c r="H20" s="158"/>
      <c r="I20" s="158"/>
      <c r="J20" s="158"/>
      <c r="K20" s="158"/>
      <c r="L20" s="158"/>
    </row>
    <row r="21" spans="1:12" ht="14.25" x14ac:dyDescent="0.2">
      <c r="A21" s="169" t="s">
        <v>222</v>
      </c>
      <c r="B21" s="180" t="s">
        <v>171</v>
      </c>
      <c r="C21" s="173">
        <v>5.9999999999999995E-4</v>
      </c>
      <c r="D21" s="174"/>
      <c r="F21" s="158"/>
      <c r="G21" s="158"/>
      <c r="H21" s="158"/>
      <c r="I21" s="158"/>
      <c r="J21" s="158"/>
      <c r="K21" s="158"/>
      <c r="L21" s="158"/>
    </row>
    <row r="22" spans="1:12" ht="14.25" x14ac:dyDescent="0.2">
      <c r="A22" s="169" t="s">
        <v>170</v>
      </c>
      <c r="B22" s="180" t="s">
        <v>173</v>
      </c>
      <c r="C22" s="173">
        <v>8.2000000000000007E-3</v>
      </c>
      <c r="D22" s="174"/>
      <c r="F22" s="158"/>
      <c r="G22" s="158"/>
      <c r="H22" s="158"/>
      <c r="I22" s="158"/>
      <c r="J22" s="158"/>
      <c r="K22" s="158"/>
      <c r="L22" s="158"/>
    </row>
    <row r="23" spans="1:12" ht="14.25" x14ac:dyDescent="0.2">
      <c r="A23" s="169" t="s">
        <v>172</v>
      </c>
      <c r="B23" s="180" t="s">
        <v>175</v>
      </c>
      <c r="C23" s="173">
        <v>3.0999999999999999E-3</v>
      </c>
      <c r="D23" s="174"/>
      <c r="F23" s="158"/>
      <c r="G23" s="158"/>
      <c r="H23" s="158"/>
      <c r="I23" s="158"/>
      <c r="J23" s="158"/>
      <c r="K23" s="158"/>
      <c r="L23" s="158"/>
    </row>
    <row r="24" spans="1:12" ht="14.25" x14ac:dyDescent="0.2">
      <c r="A24" s="169" t="s">
        <v>174</v>
      </c>
      <c r="B24" s="180" t="s">
        <v>176</v>
      </c>
      <c r="C24" s="173">
        <v>1.66E-2</v>
      </c>
      <c r="D24" s="174"/>
      <c r="F24" s="158"/>
      <c r="G24" s="158"/>
      <c r="H24" s="158"/>
      <c r="I24" s="158"/>
      <c r="J24" s="158"/>
      <c r="K24" s="158"/>
      <c r="L24" s="158"/>
    </row>
    <row r="25" spans="1:12" ht="15" x14ac:dyDescent="0.2">
      <c r="A25" s="169" t="s">
        <v>177</v>
      </c>
      <c r="B25" s="175" t="s">
        <v>178</v>
      </c>
      <c r="C25" s="176">
        <f>SUM(C19:C24)</f>
        <v>0.17369999999999999</v>
      </c>
      <c r="D25" s="181"/>
      <c r="F25" s="158"/>
      <c r="G25" s="158"/>
      <c r="H25" s="158"/>
      <c r="I25" s="158"/>
      <c r="J25" s="158"/>
      <c r="K25" s="158"/>
      <c r="L25" s="158"/>
    </row>
    <row r="26" spans="1:12" ht="15" x14ac:dyDescent="0.2">
      <c r="A26" s="177"/>
      <c r="B26" s="178"/>
      <c r="C26" s="179"/>
      <c r="D26" s="181"/>
      <c r="F26" s="158"/>
      <c r="G26" s="158"/>
      <c r="H26" s="158"/>
      <c r="I26" s="158"/>
      <c r="J26" s="158"/>
      <c r="K26" s="158"/>
      <c r="L26" s="158"/>
    </row>
    <row r="27" spans="1:12" ht="14.25" x14ac:dyDescent="0.2">
      <c r="A27" s="169" t="s">
        <v>179</v>
      </c>
      <c r="B27" s="170" t="s">
        <v>180</v>
      </c>
      <c r="C27" s="173">
        <f>ROUND(('3.CAGED'!C33) *'3.CAGED'!C26/'3.CAGED'!C29,4)</f>
        <v>2.5600000000000001E-2</v>
      </c>
      <c r="D27" s="174"/>
      <c r="E27" s="182"/>
      <c r="F27" s="158"/>
      <c r="G27" s="158"/>
      <c r="H27" s="158"/>
      <c r="I27" s="158"/>
      <c r="J27" s="158"/>
      <c r="K27" s="158"/>
      <c r="L27" s="158"/>
    </row>
    <row r="28" spans="1:12" ht="14.25" x14ac:dyDescent="0.2">
      <c r="A28" s="169" t="s">
        <v>221</v>
      </c>
      <c r="B28" s="170" t="s">
        <v>182</v>
      </c>
      <c r="C28" s="173">
        <f>ROUND(IF('3.CAGED'!C28&gt;12,12/'3.CAGED'!C28*0.1111,0.1111),4)</f>
        <v>4.9200000000000001E-2</v>
      </c>
      <c r="D28" s="174"/>
      <c r="F28" s="158"/>
      <c r="G28" s="158"/>
      <c r="H28" s="183"/>
      <c r="I28" s="158"/>
      <c r="J28" s="158"/>
      <c r="K28" s="158"/>
      <c r="L28" s="158"/>
    </row>
    <row r="29" spans="1:12" ht="14.25" x14ac:dyDescent="0.2">
      <c r="A29" s="169" t="s">
        <v>181</v>
      </c>
      <c r="B29" s="170" t="s">
        <v>184</v>
      </c>
      <c r="C29" s="173">
        <f>C27*C28</f>
        <v>1.2595200000000001E-3</v>
      </c>
      <c r="D29" s="174"/>
      <c r="E29" s="182"/>
      <c r="F29" s="158"/>
      <c r="G29" s="158"/>
      <c r="H29" s="158"/>
      <c r="I29" s="158"/>
      <c r="J29" s="158"/>
      <c r="K29" s="158"/>
      <c r="L29" s="158"/>
    </row>
    <row r="30" spans="1:12" ht="14.25" x14ac:dyDescent="0.2">
      <c r="A30" s="169" t="s">
        <v>183</v>
      </c>
      <c r="B30" s="170" t="s">
        <v>186</v>
      </c>
      <c r="C30" s="173">
        <f>ROUND(('3.CAGED'!C29+'3.CAGED'!C30+'3.CAGED'!C32)/'3.CAGED'!C27*'3.CAGED'!C34*'3.CAGED'!C35*'3.CAGED'!C26/'3.CAGED'!C29,4)</f>
        <v>2.0500000000000001E-2</v>
      </c>
      <c r="D30" s="174"/>
      <c r="F30" s="158"/>
      <c r="G30" s="184"/>
      <c r="H30" s="158"/>
      <c r="I30" s="158"/>
      <c r="J30" s="158"/>
      <c r="K30" s="158"/>
      <c r="L30" s="158"/>
    </row>
    <row r="31" spans="1:12" ht="14.25" x14ac:dyDescent="0.2">
      <c r="A31" s="169" t="s">
        <v>185</v>
      </c>
      <c r="B31" s="170" t="s">
        <v>187</v>
      </c>
      <c r="C31" s="173">
        <f>ROUND(('3.CAGED'!C31/'3.CAGED'!C29)*'3.CAGED'!C26/12,4)</f>
        <v>1.8E-3</v>
      </c>
      <c r="D31" s="174"/>
      <c r="F31" s="158"/>
      <c r="G31" s="158"/>
      <c r="H31" s="158"/>
      <c r="I31" s="158"/>
      <c r="J31" s="158"/>
      <c r="K31" s="158"/>
      <c r="L31" s="158"/>
    </row>
    <row r="32" spans="1:12" ht="15" x14ac:dyDescent="0.2">
      <c r="A32" s="169" t="s">
        <v>188</v>
      </c>
      <c r="B32" s="175" t="s">
        <v>189</v>
      </c>
      <c r="C32" s="176">
        <f>SUM(C27:C31)</f>
        <v>9.8359520000000006E-2</v>
      </c>
      <c r="D32" s="181"/>
      <c r="F32" s="158"/>
      <c r="G32" s="158"/>
      <c r="H32" s="158"/>
      <c r="I32" s="158"/>
      <c r="J32" s="158"/>
      <c r="K32" s="158"/>
      <c r="L32" s="158"/>
    </row>
    <row r="33" spans="1:12" ht="15" x14ac:dyDescent="0.2">
      <c r="A33" s="177"/>
      <c r="B33" s="178"/>
      <c r="C33" s="179"/>
      <c r="D33" s="181"/>
      <c r="F33" s="158"/>
      <c r="G33" s="158"/>
      <c r="H33" s="158"/>
      <c r="I33" s="158"/>
      <c r="J33" s="158"/>
      <c r="K33" s="158"/>
      <c r="L33" s="158"/>
    </row>
    <row r="34" spans="1:12" ht="14.25" x14ac:dyDescent="0.2">
      <c r="A34" s="169" t="s">
        <v>190</v>
      </c>
      <c r="B34" s="170" t="s">
        <v>191</v>
      </c>
      <c r="C34" s="173">
        <f>ROUND(C17*C25,4)</f>
        <v>6.3899999999999998E-2</v>
      </c>
      <c r="D34" s="174"/>
      <c r="F34" s="158"/>
      <c r="G34" s="158"/>
      <c r="H34" s="158"/>
      <c r="I34" s="158"/>
      <c r="J34" s="158"/>
      <c r="K34" s="158"/>
      <c r="L34" s="158"/>
    </row>
    <row r="35" spans="1:12" ht="28.5" x14ac:dyDescent="0.2">
      <c r="A35" s="169" t="s">
        <v>192</v>
      </c>
      <c r="B35" s="185" t="s">
        <v>289</v>
      </c>
      <c r="C35" s="173">
        <f>ROUND((C27*C16),4)</f>
        <v>2E-3</v>
      </c>
      <c r="D35" s="174"/>
      <c r="F35" s="158"/>
      <c r="G35" s="158"/>
      <c r="H35" s="158"/>
      <c r="I35" s="158"/>
      <c r="J35" s="158"/>
      <c r="K35" s="158"/>
      <c r="L35" s="158"/>
    </row>
    <row r="36" spans="1:12" ht="15" x14ac:dyDescent="0.2">
      <c r="A36" s="169" t="s">
        <v>193</v>
      </c>
      <c r="B36" s="175" t="s">
        <v>194</v>
      </c>
      <c r="C36" s="176">
        <f>SUM(C34:C35)</f>
        <v>6.59E-2</v>
      </c>
      <c r="D36" s="186"/>
      <c r="F36" s="158"/>
      <c r="G36" s="158"/>
      <c r="H36" s="158"/>
      <c r="I36" s="158"/>
      <c r="J36" s="158"/>
      <c r="K36" s="158"/>
      <c r="L36" s="158"/>
    </row>
    <row r="37" spans="1:12" ht="15.75" thickBot="1" x14ac:dyDescent="0.25">
      <c r="A37" s="187"/>
      <c r="B37" s="188" t="s">
        <v>195</v>
      </c>
      <c r="C37" s="189">
        <f>C36+C32+C25+C17</f>
        <v>0.70595951999999995</v>
      </c>
      <c r="D37" s="186"/>
      <c r="F37" s="158"/>
      <c r="G37" s="158"/>
      <c r="H37" s="158"/>
      <c r="I37" s="158"/>
      <c r="J37" s="158"/>
      <c r="K37" s="158"/>
      <c r="L37" s="158"/>
    </row>
    <row r="38" spans="1:12" ht="15" x14ac:dyDescent="0.2">
      <c r="A38" s="174"/>
      <c r="B38" s="190"/>
      <c r="C38" s="191"/>
      <c r="D38" s="192"/>
      <c r="F38" s="158"/>
      <c r="G38" s="158"/>
      <c r="H38" s="158"/>
      <c r="I38" s="158"/>
      <c r="J38" s="158"/>
      <c r="K38" s="158"/>
      <c r="L38" s="158"/>
    </row>
    <row r="39" spans="1:12" ht="14.25" x14ac:dyDescent="0.2">
      <c r="A39" s="174"/>
      <c r="B39" s="174"/>
      <c r="C39" s="193"/>
      <c r="D39" s="194"/>
      <c r="F39" s="158"/>
      <c r="G39" s="158"/>
      <c r="H39" s="158"/>
      <c r="I39" s="158"/>
      <c r="J39" s="158"/>
      <c r="K39" s="158"/>
      <c r="L39" s="158"/>
    </row>
    <row r="40" spans="1:12" ht="14.25" x14ac:dyDescent="0.2">
      <c r="A40" s="172"/>
      <c r="B40" s="172"/>
      <c r="C40" s="195"/>
      <c r="D40" s="172"/>
      <c r="F40" s="158"/>
      <c r="G40" s="158"/>
      <c r="H40" s="158"/>
      <c r="I40" s="158"/>
      <c r="J40" s="158"/>
      <c r="K40" s="158"/>
      <c r="L40" s="158"/>
    </row>
    <row r="41" spans="1:12" ht="14.25" x14ac:dyDescent="0.2">
      <c r="A41" s="172"/>
      <c r="B41" s="172"/>
      <c r="C41" s="195"/>
      <c r="D41" s="172"/>
      <c r="F41" s="158"/>
      <c r="G41" s="158"/>
      <c r="H41" s="158"/>
      <c r="I41" s="158"/>
      <c r="J41" s="158"/>
      <c r="K41" s="158"/>
      <c r="L41" s="158"/>
    </row>
    <row r="42" spans="1:12" ht="14.25" x14ac:dyDescent="0.2">
      <c r="A42" s="172"/>
      <c r="B42" s="172"/>
      <c r="C42" s="195"/>
      <c r="D42" s="172"/>
      <c r="F42" s="158"/>
      <c r="G42" s="158"/>
      <c r="H42" s="158"/>
      <c r="I42" s="158"/>
      <c r="J42" s="158"/>
      <c r="K42" s="158"/>
      <c r="L42" s="158"/>
    </row>
    <row r="43" spans="1:12" ht="15" x14ac:dyDescent="0.2">
      <c r="A43" s="172"/>
      <c r="B43" s="196"/>
      <c r="C43" s="197"/>
      <c r="D43" s="172"/>
      <c r="F43" s="158"/>
      <c r="G43" s="158"/>
      <c r="H43" s="158"/>
      <c r="I43" s="158"/>
      <c r="J43" s="158"/>
      <c r="K43" s="158"/>
      <c r="L43" s="158"/>
    </row>
    <row r="44" spans="1:12" ht="15" x14ac:dyDescent="0.2">
      <c r="A44" s="186"/>
      <c r="B44" s="196"/>
      <c r="C44" s="197"/>
      <c r="D44" s="186"/>
      <c r="E44" s="158"/>
      <c r="F44" s="158"/>
      <c r="G44" s="158"/>
      <c r="H44" s="158"/>
      <c r="I44" s="158"/>
      <c r="J44" s="158"/>
      <c r="K44" s="158"/>
      <c r="L44" s="158"/>
    </row>
    <row r="45" spans="1:12" ht="16.5" x14ac:dyDescent="0.2">
      <c r="A45" s="198"/>
      <c r="B45" s="158"/>
      <c r="C45" s="158"/>
      <c r="E45" s="158"/>
      <c r="F45" s="158"/>
      <c r="G45" s="158"/>
      <c r="H45" s="158"/>
      <c r="I45" s="158"/>
      <c r="J45" s="158"/>
      <c r="K45" s="158"/>
      <c r="L45" s="158"/>
    </row>
    <row r="46" spans="1:12" x14ac:dyDescent="0.2">
      <c r="A46" s="199"/>
      <c r="B46" s="200"/>
      <c r="C46" s="200"/>
      <c r="E46" s="158"/>
      <c r="F46" s="158"/>
      <c r="G46" s="158"/>
      <c r="H46" s="158"/>
      <c r="I46" s="158"/>
      <c r="J46" s="158"/>
      <c r="K46" s="158"/>
      <c r="L46" s="158"/>
    </row>
    <row r="47" spans="1:12" ht="14.25" x14ac:dyDescent="0.2">
      <c r="A47" s="172"/>
      <c r="B47" s="201"/>
      <c r="C47" s="200"/>
      <c r="E47" s="158"/>
      <c r="F47" s="158"/>
      <c r="G47" s="158"/>
      <c r="H47" s="158"/>
      <c r="I47" s="158"/>
      <c r="J47" s="158"/>
      <c r="K47" s="158"/>
      <c r="L47" s="158"/>
    </row>
    <row r="48" spans="1:12" ht="14.25" x14ac:dyDescent="0.2">
      <c r="A48" s="172"/>
      <c r="B48" s="201"/>
      <c r="C48" s="172"/>
      <c r="E48" s="158"/>
      <c r="F48" s="158"/>
      <c r="G48" s="158"/>
      <c r="H48" s="158"/>
      <c r="I48" s="158"/>
      <c r="J48" s="158"/>
      <c r="K48" s="158"/>
      <c r="L48" s="158"/>
    </row>
    <row r="49" spans="1:12" ht="14.25" x14ac:dyDescent="0.2">
      <c r="A49" s="172"/>
      <c r="B49" s="195"/>
      <c r="C49" s="200"/>
      <c r="E49" s="158"/>
      <c r="F49" s="158"/>
      <c r="G49" s="158"/>
      <c r="H49" s="158"/>
      <c r="I49" s="158"/>
      <c r="J49" s="158"/>
      <c r="K49" s="158"/>
      <c r="L49" s="158"/>
    </row>
    <row r="50" spans="1:12" ht="14.25" x14ac:dyDescent="0.2">
      <c r="A50" s="172"/>
      <c r="B50" s="201"/>
      <c r="C50" s="172"/>
      <c r="E50" s="158"/>
      <c r="F50" s="158"/>
      <c r="G50" s="158"/>
      <c r="H50" s="158"/>
      <c r="I50" s="158"/>
      <c r="J50" s="158"/>
      <c r="K50" s="158"/>
      <c r="L50" s="158"/>
    </row>
    <row r="51" spans="1:12" ht="14.25" x14ac:dyDescent="0.2">
      <c r="A51" s="172"/>
      <c r="B51" s="195"/>
      <c r="C51" s="200"/>
      <c r="E51" s="158"/>
      <c r="F51" s="158"/>
      <c r="G51" s="158"/>
      <c r="H51" s="158"/>
      <c r="I51" s="158"/>
      <c r="J51" s="158"/>
      <c r="K51" s="158"/>
      <c r="L51" s="158"/>
    </row>
    <row r="52" spans="1:12" ht="14.25" x14ac:dyDescent="0.2">
      <c r="A52" s="172"/>
      <c r="B52" s="201"/>
      <c r="C52" s="172"/>
      <c r="E52" s="158"/>
      <c r="F52" s="158"/>
      <c r="G52" s="158"/>
      <c r="H52" s="158"/>
      <c r="I52" s="158"/>
      <c r="J52" s="158"/>
      <c r="K52" s="158"/>
      <c r="L52" s="158"/>
    </row>
    <row r="53" spans="1:12" ht="14.25" x14ac:dyDescent="0.2">
      <c r="A53" s="172"/>
      <c r="B53" s="195"/>
      <c r="C53" s="200"/>
      <c r="E53" s="158"/>
      <c r="F53" s="158"/>
      <c r="G53" s="158"/>
      <c r="H53" s="158"/>
      <c r="I53" s="158"/>
      <c r="J53" s="158"/>
      <c r="K53" s="158"/>
      <c r="L53" s="158"/>
    </row>
    <row r="54" spans="1:12" ht="14.25" x14ac:dyDescent="0.2">
      <c r="A54" s="172"/>
      <c r="B54" s="201"/>
      <c r="C54" s="172"/>
      <c r="E54" s="158"/>
      <c r="F54" s="158"/>
      <c r="G54" s="158"/>
      <c r="H54" s="158"/>
      <c r="I54" s="158"/>
      <c r="J54" s="158"/>
      <c r="K54" s="158"/>
      <c r="L54" s="158"/>
    </row>
    <row r="55" spans="1:12" ht="14.25" x14ac:dyDescent="0.2">
      <c r="A55" s="172"/>
      <c r="B55" s="195"/>
      <c r="C55" s="200"/>
      <c r="E55" s="158"/>
      <c r="F55" s="158"/>
      <c r="G55" s="158"/>
      <c r="H55" s="158"/>
      <c r="I55" s="158"/>
      <c r="J55" s="158"/>
      <c r="K55" s="158"/>
      <c r="L55" s="158"/>
    </row>
    <row r="56" spans="1:12" ht="16.5" x14ac:dyDescent="0.2">
      <c r="A56" s="198"/>
      <c r="B56" s="158"/>
      <c r="C56" s="158"/>
      <c r="E56" s="158"/>
      <c r="F56" s="158"/>
      <c r="G56" s="158"/>
      <c r="H56" s="158"/>
      <c r="I56" s="158"/>
      <c r="J56" s="158"/>
      <c r="K56" s="158"/>
      <c r="L56" s="158"/>
    </row>
    <row r="57" spans="1:12" x14ac:dyDescent="0.2">
      <c r="A57" s="158"/>
      <c r="B57" s="158"/>
      <c r="C57" s="158"/>
      <c r="E57" s="158"/>
      <c r="F57" s="158"/>
      <c r="G57" s="158"/>
      <c r="H57" s="158"/>
      <c r="I57" s="158"/>
      <c r="J57" s="158"/>
      <c r="K57" s="158"/>
      <c r="L57" s="158"/>
    </row>
    <row r="58" spans="1:12" x14ac:dyDescent="0.2">
      <c r="A58" s="158"/>
      <c r="B58" s="158"/>
      <c r="C58" s="158"/>
      <c r="E58" s="158"/>
      <c r="F58" s="158"/>
      <c r="G58" s="158"/>
      <c r="H58" s="158"/>
      <c r="I58" s="158"/>
      <c r="J58" s="158"/>
      <c r="K58" s="158"/>
      <c r="L58" s="158"/>
    </row>
    <row r="59" spans="1:12" x14ac:dyDescent="0.2">
      <c r="A59" s="202"/>
      <c r="B59" s="158"/>
      <c r="C59" s="158"/>
      <c r="E59" s="158"/>
      <c r="F59" s="158"/>
      <c r="G59" s="158"/>
      <c r="H59" s="158"/>
      <c r="I59" s="158"/>
      <c r="J59" s="158"/>
      <c r="K59" s="158"/>
      <c r="L59" s="158"/>
    </row>
    <row r="60" spans="1:12" x14ac:dyDescent="0.2">
      <c r="A60" s="158"/>
      <c r="B60" s="158"/>
      <c r="C60" s="158"/>
      <c r="E60" s="158"/>
    </row>
    <row r="61" spans="1:12" x14ac:dyDescent="0.2">
      <c r="A61" s="158"/>
      <c r="B61" s="158"/>
      <c r="C61" s="158"/>
      <c r="E61" s="158"/>
    </row>
    <row r="62" spans="1:12" x14ac:dyDescent="0.2">
      <c r="A62" s="158"/>
      <c r="B62" s="158"/>
      <c r="C62" s="158"/>
      <c r="E62" s="158"/>
    </row>
    <row r="63" spans="1:12" x14ac:dyDescent="0.2">
      <c r="A63" s="158"/>
      <c r="B63" s="158"/>
      <c r="C63" s="158"/>
      <c r="E63" s="158"/>
    </row>
    <row r="64" spans="1:12" x14ac:dyDescent="0.2">
      <c r="A64" s="158"/>
      <c r="B64" s="158"/>
      <c r="C64" s="158"/>
      <c r="E64" s="158"/>
    </row>
    <row r="65" spans="1:5" x14ac:dyDescent="0.2">
      <c r="A65" s="158"/>
      <c r="B65" s="158"/>
      <c r="C65" s="158"/>
      <c r="E65" s="158"/>
    </row>
    <row r="66" spans="1:5" x14ac:dyDescent="0.2">
      <c r="A66" s="158"/>
      <c r="B66" s="158"/>
      <c r="C66" s="158"/>
      <c r="E66" s="158"/>
    </row>
    <row r="67" spans="1:5" x14ac:dyDescent="0.2">
      <c r="A67" s="158"/>
      <c r="B67" s="158"/>
      <c r="C67" s="158"/>
      <c r="E67" s="158"/>
    </row>
    <row r="68" spans="1:5" x14ac:dyDescent="0.2">
      <c r="A68" s="158"/>
      <c r="B68" s="158"/>
      <c r="C68" s="158"/>
      <c r="E68" s="158"/>
    </row>
  </sheetData>
  <mergeCells count="1">
    <mergeCell ref="A7:C7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Normal="100" workbookViewId="0">
      <selection activeCell="D35" sqref="D35"/>
    </sheetView>
  </sheetViews>
  <sheetFormatPr defaultRowHeight="12.75" x14ac:dyDescent="0.2"/>
  <cols>
    <col min="1" max="1" width="8.5703125" style="1" customWidth="1"/>
    <col min="2" max="2" width="67.140625" style="1" customWidth="1"/>
    <col min="3" max="3" width="13.7109375" style="1" customWidth="1"/>
    <col min="4" max="4" width="10.28515625" style="1" customWidth="1"/>
    <col min="5" max="5" width="13.7109375" style="1" customWidth="1"/>
    <col min="6" max="16384" width="9.140625" style="1"/>
  </cols>
  <sheetData>
    <row r="1" spans="1:3" x14ac:dyDescent="0.2">
      <c r="A1" s="108" t="s">
        <v>245</v>
      </c>
    </row>
    <row r="3" spans="1:3" x14ac:dyDescent="0.2">
      <c r="A3" s="346" t="s">
        <v>300</v>
      </c>
      <c r="B3" s="346"/>
      <c r="C3" s="346"/>
    </row>
    <row r="4" spans="1:3" x14ac:dyDescent="0.2">
      <c r="A4" s="346"/>
      <c r="B4" s="346"/>
      <c r="C4" s="346"/>
    </row>
    <row r="5" spans="1:3" x14ac:dyDescent="0.2">
      <c r="A5" s="303"/>
    </row>
    <row r="6" spans="1:3" ht="13.5" thickBot="1" x14ac:dyDescent="0.25"/>
    <row r="7" spans="1:3" ht="18" x14ac:dyDescent="0.25">
      <c r="B7" s="331" t="s">
        <v>231</v>
      </c>
      <c r="C7" s="332"/>
    </row>
    <row r="8" spans="1:3" ht="15" x14ac:dyDescent="0.25">
      <c r="A8" s="158"/>
      <c r="B8" s="157" t="s">
        <v>210</v>
      </c>
      <c r="C8" s="203"/>
    </row>
    <row r="9" spans="1:3" ht="15" x14ac:dyDescent="0.25">
      <c r="A9" s="158"/>
      <c r="B9" s="159" t="s">
        <v>131</v>
      </c>
      <c r="C9" s="160">
        <v>2100</v>
      </c>
    </row>
    <row r="10" spans="1:3" ht="15" x14ac:dyDescent="0.25">
      <c r="A10" s="158"/>
      <c r="B10" s="161" t="s">
        <v>132</v>
      </c>
      <c r="C10" s="160">
        <v>2031</v>
      </c>
    </row>
    <row r="11" spans="1:3" ht="14.25" x14ac:dyDescent="0.2">
      <c r="A11" s="158"/>
      <c r="B11" s="204" t="s">
        <v>133</v>
      </c>
      <c r="C11" s="205">
        <v>44</v>
      </c>
    </row>
    <row r="12" spans="1:3" ht="14.25" x14ac:dyDescent="0.2">
      <c r="A12" s="158"/>
      <c r="B12" s="204" t="s">
        <v>134</v>
      </c>
      <c r="C12" s="205">
        <v>1192</v>
      </c>
    </row>
    <row r="13" spans="1:3" ht="14.25" x14ac:dyDescent="0.2">
      <c r="A13" s="158"/>
      <c r="B13" s="204" t="s">
        <v>135</v>
      </c>
      <c r="C13" s="205">
        <v>372</v>
      </c>
    </row>
    <row r="14" spans="1:3" ht="14.25" x14ac:dyDescent="0.2">
      <c r="A14" s="158"/>
      <c r="B14" s="204" t="s">
        <v>136</v>
      </c>
      <c r="C14" s="205">
        <v>22</v>
      </c>
    </row>
    <row r="15" spans="1:3" ht="14.25" x14ac:dyDescent="0.2">
      <c r="A15" s="158"/>
      <c r="B15" s="204" t="s">
        <v>137</v>
      </c>
      <c r="C15" s="205">
        <v>350</v>
      </c>
    </row>
    <row r="16" spans="1:3" ht="14.25" x14ac:dyDescent="0.2">
      <c r="A16" s="158"/>
      <c r="B16" s="204" t="s">
        <v>138</v>
      </c>
      <c r="C16" s="205">
        <v>1</v>
      </c>
    </row>
    <row r="17" spans="1:5" ht="14.25" x14ac:dyDescent="0.2">
      <c r="A17" s="158"/>
      <c r="B17" s="204" t="s">
        <v>139</v>
      </c>
      <c r="C17" s="205">
        <v>30</v>
      </c>
    </row>
    <row r="18" spans="1:5" ht="14.25" x14ac:dyDescent="0.2">
      <c r="A18" s="158"/>
      <c r="B18" s="206" t="s">
        <v>140</v>
      </c>
      <c r="C18" s="207">
        <v>0</v>
      </c>
    </row>
    <row r="19" spans="1:5" ht="14.25" x14ac:dyDescent="0.2">
      <c r="A19" s="158"/>
      <c r="B19" s="309" t="s">
        <v>296</v>
      </c>
      <c r="C19" s="207">
        <v>0</v>
      </c>
    </row>
    <row r="20" spans="1:5" ht="15" x14ac:dyDescent="0.25">
      <c r="A20" s="158" t="s">
        <v>141</v>
      </c>
      <c r="B20" s="157" t="s">
        <v>142</v>
      </c>
      <c r="C20" s="203"/>
    </row>
    <row r="21" spans="1:5" ht="14.25" x14ac:dyDescent="0.2">
      <c r="A21" s="158"/>
      <c r="B21" s="208" t="s">
        <v>298</v>
      </c>
      <c r="C21" s="209">
        <v>4625</v>
      </c>
    </row>
    <row r="22" spans="1:5" ht="14.25" x14ac:dyDescent="0.2">
      <c r="A22" s="158"/>
      <c r="B22" s="204" t="s">
        <v>299</v>
      </c>
      <c r="C22" s="205">
        <v>4694</v>
      </c>
    </row>
    <row r="23" spans="1:5" ht="14.25" x14ac:dyDescent="0.2">
      <c r="B23" s="204" t="s">
        <v>297</v>
      </c>
      <c r="C23" s="302">
        <f>C9-C10</f>
        <v>69</v>
      </c>
    </row>
    <row r="24" spans="1:5" ht="14.25" x14ac:dyDescent="0.2">
      <c r="B24" s="210"/>
      <c r="C24" s="211"/>
    </row>
    <row r="25" spans="1:5" s="108" customFormat="1" ht="15" x14ac:dyDescent="0.25">
      <c r="B25" s="159" t="s">
        <v>144</v>
      </c>
      <c r="C25" s="212">
        <f>MEDIAN(C21,C22)</f>
        <v>4659.5</v>
      </c>
    </row>
    <row r="26" spans="1:5" ht="15" x14ac:dyDescent="0.25">
      <c r="B26" s="161" t="s">
        <v>294</v>
      </c>
      <c r="C26" s="307">
        <f>C12/C25</f>
        <v>0.25582144006867691</v>
      </c>
    </row>
    <row r="27" spans="1:5" ht="15" x14ac:dyDescent="0.25">
      <c r="B27" s="161" t="s">
        <v>295</v>
      </c>
      <c r="C27" s="307">
        <f>MEDIAN(C9,C10)/C25</f>
        <v>0.44328790642772831</v>
      </c>
      <c r="E27" s="273"/>
    </row>
    <row r="28" spans="1:5" s="108" customFormat="1" ht="15" x14ac:dyDescent="0.25">
      <c r="B28" s="161" t="s">
        <v>250</v>
      </c>
      <c r="C28" s="305">
        <f>12/C27</f>
        <v>27.070442992011618</v>
      </c>
    </row>
    <row r="29" spans="1:5" ht="15" x14ac:dyDescent="0.25">
      <c r="B29" s="161" t="s">
        <v>143</v>
      </c>
      <c r="C29" s="163">
        <v>360</v>
      </c>
    </row>
    <row r="30" spans="1:5" ht="15" x14ac:dyDescent="0.25">
      <c r="B30" s="161" t="s">
        <v>246</v>
      </c>
      <c r="C30" s="163">
        <v>10</v>
      </c>
    </row>
    <row r="31" spans="1:5" ht="15" x14ac:dyDescent="0.25">
      <c r="B31" s="159" t="s">
        <v>247</v>
      </c>
      <c r="C31" s="162">
        <v>30</v>
      </c>
    </row>
    <row r="32" spans="1:5" ht="15" x14ac:dyDescent="0.25">
      <c r="B32" s="159" t="s">
        <v>248</v>
      </c>
      <c r="C32" s="162">
        <v>30</v>
      </c>
    </row>
    <row r="33" spans="2:3" s="108" customFormat="1" ht="15" x14ac:dyDescent="0.25">
      <c r="B33" s="159" t="s">
        <v>146</v>
      </c>
      <c r="C33" s="162">
        <f>30+(3*TRUNC(1/C27))</f>
        <v>36</v>
      </c>
    </row>
    <row r="34" spans="2:3" s="108" customFormat="1" ht="15" x14ac:dyDescent="0.25">
      <c r="B34" s="161" t="s">
        <v>42</v>
      </c>
      <c r="C34" s="306">
        <v>0.08</v>
      </c>
    </row>
    <row r="35" spans="2:3" s="108" customFormat="1" ht="15.75" thickBot="1" x14ac:dyDescent="0.3">
      <c r="B35" s="164" t="s">
        <v>145</v>
      </c>
      <c r="C35" s="308">
        <v>0.4</v>
      </c>
    </row>
  </sheetData>
  <mergeCells count="2">
    <mergeCell ref="B7:C7"/>
    <mergeCell ref="A3:C4"/>
  </mergeCells>
  <pageMargins left="0.90551181102362199" right="0.51181102362204722" top="0.74803149606299213" bottom="0.74803149606299213" header="0.31496062992125984" footer="0.31496062992125984"/>
  <pageSetup paperSize="9" scale="98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4"/>
  <sheetViews>
    <sheetView zoomScaleNormal="100" workbookViewId="0">
      <selection sqref="A1:A6"/>
    </sheetView>
  </sheetViews>
  <sheetFormatPr defaultRowHeight="12.75" x14ac:dyDescent="0.2"/>
  <cols>
    <col min="1" max="1" width="41.85546875" bestFit="1" customWidth="1"/>
    <col min="2" max="2" width="5.5703125" bestFit="1" customWidth="1"/>
    <col min="4" max="4" width="9.7109375" bestFit="1" customWidth="1"/>
    <col min="5" max="5" width="8" style="123" bestFit="1" customWidth="1"/>
    <col min="6" max="6" width="9.7109375" bestFit="1" customWidth="1"/>
  </cols>
  <sheetData>
    <row r="1" spans="1:8" s="147" customFormat="1" ht="14.25" x14ac:dyDescent="0.2">
      <c r="A1" s="11"/>
      <c r="B1" s="145"/>
      <c r="C1" s="145"/>
      <c r="E1" s="148"/>
    </row>
    <row r="2" spans="1:8" s="147" customFormat="1" ht="14.25" x14ac:dyDescent="0.2">
      <c r="A2" s="140"/>
      <c r="B2" s="145"/>
      <c r="C2" s="145"/>
      <c r="E2" s="148"/>
    </row>
    <row r="3" spans="1:8" s="147" customFormat="1" ht="14.25" x14ac:dyDescent="0.2">
      <c r="A3" s="9"/>
      <c r="B3" s="145"/>
      <c r="C3" s="145"/>
      <c r="E3" s="148"/>
    </row>
    <row r="4" spans="1:8" s="147" customFormat="1" ht="14.25" x14ac:dyDescent="0.2">
      <c r="A4" s="9"/>
      <c r="B4" s="145"/>
      <c r="C4" s="145"/>
      <c r="E4" s="148"/>
    </row>
    <row r="5" spans="1:8" s="4" customFormat="1" ht="15.6" customHeight="1" x14ac:dyDescent="0.2">
      <c r="A5" s="301"/>
      <c r="B5" s="139"/>
      <c r="C5" s="139"/>
      <c r="D5" s="139"/>
      <c r="E5" s="139"/>
      <c r="F5" s="139"/>
      <c r="G5" s="6"/>
    </row>
    <row r="6" spans="1:8" s="4" customFormat="1" ht="16.5" customHeight="1" x14ac:dyDescent="0.2">
      <c r="A6" s="301"/>
      <c r="B6" s="5"/>
      <c r="C6" s="5"/>
      <c r="D6" s="6"/>
      <c r="E6" s="6"/>
      <c r="F6" s="6"/>
      <c r="G6" s="6"/>
    </row>
    <row r="7" spans="1:8" s="147" customFormat="1" ht="15" thickBot="1" x14ac:dyDescent="0.25">
      <c r="B7" s="145"/>
      <c r="C7" s="145"/>
      <c r="E7" s="148"/>
    </row>
    <row r="8" spans="1:8" ht="15.75" x14ac:dyDescent="0.2">
      <c r="A8" s="338" t="s">
        <v>232</v>
      </c>
      <c r="B8" s="339"/>
      <c r="C8" s="339"/>
      <c r="D8" s="339"/>
      <c r="E8" s="339"/>
      <c r="F8" s="340"/>
    </row>
    <row r="9" spans="1:8" ht="16.5" thickBot="1" x14ac:dyDescent="0.25">
      <c r="A9" s="258"/>
      <c r="B9" s="259"/>
      <c r="C9" s="259"/>
      <c r="D9" s="259"/>
      <c r="E9" s="259"/>
      <c r="F9" s="260"/>
    </row>
    <row r="10" spans="1:8" ht="15" x14ac:dyDescent="0.25">
      <c r="A10" s="213"/>
      <c r="B10" s="146"/>
      <c r="C10" s="146"/>
      <c r="D10" s="335" t="s">
        <v>249</v>
      </c>
      <c r="E10" s="336"/>
      <c r="F10" s="337"/>
      <c r="G10" s="147"/>
      <c r="H10" s="147"/>
    </row>
    <row r="11" spans="1:8" ht="15" thickBot="1" x14ac:dyDescent="0.25">
      <c r="A11" s="210"/>
      <c r="B11" s="214"/>
      <c r="C11" s="214"/>
      <c r="D11" s="215" t="s">
        <v>196</v>
      </c>
      <c r="E11" s="216" t="s">
        <v>197</v>
      </c>
      <c r="F11" s="217" t="s">
        <v>198</v>
      </c>
      <c r="G11" s="147"/>
      <c r="H11" s="147"/>
    </row>
    <row r="12" spans="1:8" ht="14.25" x14ac:dyDescent="0.2">
      <c r="A12" s="218" t="s">
        <v>77</v>
      </c>
      <c r="B12" s="219" t="s">
        <v>78</v>
      </c>
      <c r="C12" s="220">
        <v>0.04</v>
      </c>
      <c r="D12" s="241">
        <v>2.9700000000000001E-2</v>
      </c>
      <c r="E12" s="242">
        <v>5.0799999999999998E-2</v>
      </c>
      <c r="F12" s="243">
        <v>6.2700000000000006E-2</v>
      </c>
      <c r="G12" s="147"/>
      <c r="H12" s="147"/>
    </row>
    <row r="13" spans="1:8" ht="14.25" x14ac:dyDescent="0.2">
      <c r="A13" s="222" t="s">
        <v>79</v>
      </c>
      <c r="B13" s="223" t="s">
        <v>80</v>
      </c>
      <c r="C13" s="224">
        <v>0.01</v>
      </c>
      <c r="D13" s="241">
        <f>0.3%+0.56%</f>
        <v>8.6E-3</v>
      </c>
      <c r="E13" s="242">
        <f>0.48%+0.85%</f>
        <v>1.3299999999999999E-2</v>
      </c>
      <c r="F13" s="243">
        <f>0.82%+0.89%</f>
        <v>1.7099999999999997E-2</v>
      </c>
      <c r="G13" s="147"/>
      <c r="H13" s="147"/>
    </row>
    <row r="14" spans="1:8" ht="14.25" x14ac:dyDescent="0.2">
      <c r="A14" s="222" t="s">
        <v>81</v>
      </c>
      <c r="B14" s="223" t="s">
        <v>82</v>
      </c>
      <c r="C14" s="224">
        <v>0.1</v>
      </c>
      <c r="D14" s="241">
        <v>7.7799999999999994E-2</v>
      </c>
      <c r="E14" s="242">
        <v>0.1085</v>
      </c>
      <c r="F14" s="243">
        <v>0.13550000000000001</v>
      </c>
      <c r="G14" s="147"/>
      <c r="H14" s="147"/>
    </row>
    <row r="15" spans="1:8" ht="14.25" x14ac:dyDescent="0.2">
      <c r="A15" s="222" t="s">
        <v>83</v>
      </c>
      <c r="B15" s="223" t="s">
        <v>84</v>
      </c>
      <c r="C15" s="225">
        <f>(1+E15)^(E16/252)-1</f>
        <v>2.3602366139414688E-3</v>
      </c>
      <c r="D15" s="241" t="s">
        <v>285</v>
      </c>
      <c r="E15" s="226">
        <v>0.02</v>
      </c>
      <c r="F15" s="221"/>
      <c r="G15" s="147"/>
      <c r="H15" s="147"/>
    </row>
    <row r="16" spans="1:8" ht="14.25" x14ac:dyDescent="0.2">
      <c r="A16" s="222" t="s">
        <v>85</v>
      </c>
      <c r="B16" s="333" t="s">
        <v>86</v>
      </c>
      <c r="C16" s="224">
        <v>0.03</v>
      </c>
      <c r="D16" s="297" t="s">
        <v>199</v>
      </c>
      <c r="E16" s="227">
        <v>30</v>
      </c>
      <c r="F16" s="228"/>
      <c r="G16" s="147"/>
      <c r="H16" s="147"/>
    </row>
    <row r="17" spans="1:8" ht="15" thickBot="1" x14ac:dyDescent="0.25">
      <c r="A17" s="229" t="s">
        <v>87</v>
      </c>
      <c r="B17" s="334"/>
      <c r="C17" s="230">
        <v>3.6499999999999998E-2</v>
      </c>
      <c r="D17" s="204"/>
      <c r="E17" s="231"/>
      <c r="F17" s="228"/>
      <c r="G17" s="147"/>
      <c r="H17" s="147"/>
    </row>
    <row r="18" spans="1:8" ht="14.25" x14ac:dyDescent="0.2">
      <c r="A18" s="232" t="s">
        <v>88</v>
      </c>
      <c r="B18" s="233"/>
      <c r="C18" s="234"/>
      <c r="D18" s="204"/>
      <c r="E18" s="231"/>
      <c r="F18" s="228"/>
      <c r="G18" s="147"/>
      <c r="H18" s="147"/>
    </row>
    <row r="19" spans="1:8" ht="15" thickBot="1" x14ac:dyDescent="0.25">
      <c r="A19" s="235" t="s">
        <v>89</v>
      </c>
      <c r="B19" s="236"/>
      <c r="C19" s="237"/>
      <c r="D19" s="204"/>
      <c r="E19" s="231"/>
      <c r="F19" s="228"/>
      <c r="G19" s="147"/>
      <c r="H19" s="147"/>
    </row>
    <row r="20" spans="1:8" ht="15.75" thickBot="1" x14ac:dyDescent="0.25">
      <c r="A20" s="238" t="s">
        <v>90</v>
      </c>
      <c r="B20" s="239"/>
      <c r="C20" s="240">
        <f>ROUND((((1+C12+C13)*(1+C14)*(1+C15))/(1-(C16+C17))-1),4)</f>
        <v>0.2402</v>
      </c>
      <c r="D20" s="244">
        <v>0.21429999999999999</v>
      </c>
      <c r="E20" s="245">
        <v>0.2717</v>
      </c>
      <c r="F20" s="246">
        <v>0.3362</v>
      </c>
      <c r="G20" s="147"/>
      <c r="H20" s="147"/>
    </row>
    <row r="21" spans="1:8" ht="14.25" x14ac:dyDescent="0.2">
      <c r="A21" s="147"/>
      <c r="B21" s="147"/>
      <c r="C21" s="147"/>
      <c r="D21" s="147"/>
      <c r="E21" s="148"/>
      <c r="F21" s="147"/>
      <c r="G21" s="147"/>
      <c r="H21" s="147"/>
    </row>
    <row r="22" spans="1:8" ht="14.25" x14ac:dyDescent="0.2">
      <c r="A22" s="147"/>
      <c r="B22" s="147"/>
      <c r="C22" s="147"/>
      <c r="D22" s="147"/>
      <c r="E22" s="148"/>
      <c r="F22" s="147"/>
      <c r="G22" s="147"/>
      <c r="H22" s="147"/>
    </row>
    <row r="23" spans="1:8" ht="14.25" x14ac:dyDescent="0.2">
      <c r="A23" s="147"/>
      <c r="B23" s="147"/>
      <c r="C23" s="147"/>
      <c r="D23" s="147"/>
      <c r="E23" s="148"/>
      <c r="F23" s="147"/>
      <c r="G23" s="147"/>
      <c r="H23" s="147"/>
    </row>
    <row r="24" spans="1:8" ht="14.25" x14ac:dyDescent="0.2">
      <c r="A24" s="147"/>
      <c r="B24" s="147"/>
      <c r="C24" s="147"/>
      <c r="D24" s="147"/>
      <c r="E24" s="148"/>
      <c r="F24" s="147"/>
      <c r="G24" s="147"/>
      <c r="H24" s="147"/>
    </row>
  </sheetData>
  <mergeCells count="3">
    <mergeCell ref="B16:B17"/>
    <mergeCell ref="D10:F10"/>
    <mergeCell ref="A8:F8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>
      <selection activeCell="B3" sqref="B3"/>
    </sheetView>
  </sheetViews>
  <sheetFormatPr defaultRowHeight="19.5" customHeight="1" x14ac:dyDescent="0.2"/>
  <cols>
    <col min="1" max="1" width="24.5703125" style="1" customWidth="1"/>
    <col min="2" max="2" width="20.85546875" style="1" customWidth="1"/>
    <col min="3" max="16384" width="9.140625" style="1"/>
  </cols>
  <sheetData>
    <row r="1" spans="1:2" ht="19.5" customHeight="1" thickBot="1" x14ac:dyDescent="0.25">
      <c r="A1" s="341" t="s">
        <v>234</v>
      </c>
      <c r="B1" s="342"/>
    </row>
    <row r="2" spans="1:2" s="108" customFormat="1" ht="19.5" customHeight="1" x14ac:dyDescent="0.2">
      <c r="A2" s="261" t="s">
        <v>211</v>
      </c>
      <c r="B2" s="262" t="s">
        <v>287</v>
      </c>
    </row>
    <row r="3" spans="1:2" ht="19.5" customHeight="1" x14ac:dyDescent="0.2">
      <c r="A3" s="166">
        <v>1</v>
      </c>
      <c r="B3" s="165">
        <v>33.629999999999995</v>
      </c>
    </row>
    <row r="4" spans="1:2" ht="19.5" customHeight="1" x14ac:dyDescent="0.2">
      <c r="A4" s="166">
        <v>2</v>
      </c>
      <c r="B4" s="165">
        <v>43.13</v>
      </c>
    </row>
    <row r="5" spans="1:2" ht="19.5" customHeight="1" x14ac:dyDescent="0.2">
      <c r="A5" s="166">
        <v>3</v>
      </c>
      <c r="B5" s="165">
        <v>48.68</v>
      </c>
    </row>
    <row r="6" spans="1:2" ht="19.5" customHeight="1" x14ac:dyDescent="0.2">
      <c r="A6" s="166">
        <v>4</v>
      </c>
      <c r="B6" s="165">
        <v>52.62</v>
      </c>
    </row>
    <row r="7" spans="1:2" ht="19.5" customHeight="1" x14ac:dyDescent="0.2">
      <c r="A7" s="166">
        <v>5</v>
      </c>
      <c r="B7" s="165">
        <v>55.679999999999993</v>
      </c>
    </row>
    <row r="8" spans="1:2" ht="19.5" customHeight="1" x14ac:dyDescent="0.2">
      <c r="A8" s="166">
        <v>6</v>
      </c>
      <c r="B8" s="165">
        <v>58.18</v>
      </c>
    </row>
    <row r="9" spans="1:2" ht="19.5" customHeight="1" x14ac:dyDescent="0.2">
      <c r="A9" s="166">
        <v>7</v>
      </c>
      <c r="B9" s="165">
        <v>60.29</v>
      </c>
    </row>
    <row r="10" spans="1:2" ht="19.5" customHeight="1" x14ac:dyDescent="0.2">
      <c r="A10" s="166">
        <v>8</v>
      </c>
      <c r="B10" s="165">
        <v>62.12</v>
      </c>
    </row>
    <row r="11" spans="1:2" ht="19.5" customHeight="1" x14ac:dyDescent="0.2">
      <c r="A11" s="166">
        <v>9</v>
      </c>
      <c r="B11" s="165">
        <v>63.73</v>
      </c>
    </row>
    <row r="12" spans="1:2" ht="19.5" customHeight="1" x14ac:dyDescent="0.2">
      <c r="A12" s="166">
        <v>10</v>
      </c>
      <c r="B12" s="165">
        <v>65.180000000000007</v>
      </c>
    </row>
    <row r="13" spans="1:2" ht="19.5" customHeight="1" x14ac:dyDescent="0.2">
      <c r="A13" s="166">
        <v>11</v>
      </c>
      <c r="B13" s="165">
        <v>66.47999999999999</v>
      </c>
    </row>
    <row r="14" spans="1:2" ht="19.5" customHeight="1" x14ac:dyDescent="0.2">
      <c r="A14" s="166">
        <v>12</v>
      </c>
      <c r="B14" s="165">
        <v>67.67</v>
      </c>
    </row>
    <row r="15" spans="1:2" ht="19.5" customHeight="1" x14ac:dyDescent="0.2">
      <c r="A15" s="166">
        <v>13</v>
      </c>
      <c r="B15" s="165">
        <v>68.77</v>
      </c>
    </row>
    <row r="16" spans="1:2" ht="19.5" customHeight="1" x14ac:dyDescent="0.2">
      <c r="A16" s="166">
        <v>14</v>
      </c>
      <c r="B16" s="165">
        <v>69.789999999999992</v>
      </c>
    </row>
    <row r="17" spans="1:2" ht="19.5" customHeight="1" thickBot="1" x14ac:dyDescent="0.25">
      <c r="A17" s="167">
        <v>15</v>
      </c>
      <c r="B17" s="168">
        <v>70.73</v>
      </c>
    </row>
  </sheetData>
  <mergeCells count="1">
    <mergeCell ref="A1:B1"/>
  </mergeCells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7"/>
  <sheetViews>
    <sheetView tabSelected="1" workbookViewId="0">
      <selection activeCell="A24" sqref="A24"/>
    </sheetView>
  </sheetViews>
  <sheetFormatPr defaultRowHeight="12.75" x14ac:dyDescent="0.2"/>
  <cols>
    <col min="1" max="1" width="70.42578125" style="1" customWidth="1"/>
    <col min="2" max="3" width="9.140625" style="1"/>
    <col min="4" max="4" width="12.85546875" style="1" bestFit="1" customWidth="1"/>
    <col min="5" max="16384" width="9.140625" style="1"/>
  </cols>
  <sheetData>
    <row r="1" spans="1:1" ht="18" x14ac:dyDescent="0.25">
      <c r="A1" s="250" t="s">
        <v>238</v>
      </c>
    </row>
    <row r="2" spans="1:1" x14ac:dyDescent="0.2">
      <c r="A2" s="247"/>
    </row>
    <row r="3" spans="1:1" x14ac:dyDescent="0.2">
      <c r="A3" s="247" t="s">
        <v>251</v>
      </c>
    </row>
    <row r="4" spans="1:1" x14ac:dyDescent="0.2">
      <c r="A4" s="247"/>
    </row>
    <row r="5" spans="1:1" x14ac:dyDescent="0.2">
      <c r="A5" s="247"/>
    </row>
    <row r="6" spans="1:1" x14ac:dyDescent="0.2">
      <c r="A6" s="247"/>
    </row>
    <row r="7" spans="1:1" x14ac:dyDescent="0.2">
      <c r="A7" s="247"/>
    </row>
    <row r="8" spans="1:1" x14ac:dyDescent="0.2">
      <c r="A8" s="247"/>
    </row>
    <row r="9" spans="1:1" x14ac:dyDescent="0.2">
      <c r="A9" s="247"/>
    </row>
    <row r="10" spans="1:1" x14ac:dyDescent="0.2">
      <c r="A10" s="247"/>
    </row>
    <row r="11" spans="1:1" x14ac:dyDescent="0.2">
      <c r="A11" s="247"/>
    </row>
    <row r="12" spans="1:1" ht="19.5" x14ac:dyDescent="0.35">
      <c r="A12" s="248" t="s">
        <v>235</v>
      </c>
    </row>
    <row r="13" spans="1:1" ht="15" x14ac:dyDescent="0.2">
      <c r="A13" s="248" t="s">
        <v>114</v>
      </c>
    </row>
    <row r="14" spans="1:1" ht="15" x14ac:dyDescent="0.2">
      <c r="A14" s="248" t="s">
        <v>119</v>
      </c>
    </row>
    <row r="15" spans="1:1" ht="19.5" x14ac:dyDescent="0.35">
      <c r="A15" s="248" t="s">
        <v>236</v>
      </c>
    </row>
    <row r="16" spans="1:1" ht="19.5" x14ac:dyDescent="0.35">
      <c r="A16" s="248" t="s">
        <v>237</v>
      </c>
    </row>
    <row r="17" spans="1:1" ht="15.75" thickBot="1" x14ac:dyDescent="0.25">
      <c r="A17" s="249" t="s">
        <v>115</v>
      </c>
    </row>
  </sheetData>
  <pageMargins left="0.90551181102362199" right="0.5118110236220472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opLeftCell="A4" zoomScaleNormal="100" workbookViewId="0">
      <selection activeCell="C23" sqref="C23"/>
    </sheetView>
  </sheetViews>
  <sheetFormatPr defaultRowHeight="12.75" x14ac:dyDescent="0.2"/>
  <cols>
    <col min="1" max="1" width="58.28515625" style="273" customWidth="1"/>
    <col min="2" max="2" width="11.140625" style="273" bestFit="1" customWidth="1"/>
    <col min="3" max="3" width="11.28515625" style="273" bestFit="1" customWidth="1"/>
    <col min="4" max="16384" width="9.140625" style="273"/>
  </cols>
  <sheetData>
    <row r="1" spans="1:7" x14ac:dyDescent="0.2">
      <c r="A1" s="11" t="s">
        <v>209</v>
      </c>
    </row>
    <row r="2" spans="1:7" x14ac:dyDescent="0.2">
      <c r="A2" s="278" t="s">
        <v>262</v>
      </c>
    </row>
    <row r="3" spans="1:7" x14ac:dyDescent="0.2">
      <c r="A3" s="278" t="s">
        <v>288</v>
      </c>
    </row>
    <row r="4" spans="1:7" x14ac:dyDescent="0.2">
      <c r="A4" s="7" t="s">
        <v>286</v>
      </c>
    </row>
    <row r="5" spans="1:7" x14ac:dyDescent="0.2">
      <c r="A5" s="7"/>
    </row>
    <row r="6" spans="1:7" s="4" customFormat="1" ht="15.6" customHeight="1" x14ac:dyDescent="0.2">
      <c r="A6" s="301" t="s">
        <v>293</v>
      </c>
      <c r="B6" s="139"/>
      <c r="C6" s="139"/>
      <c r="D6" s="139"/>
      <c r="E6" s="139"/>
      <c r="F6" s="139"/>
      <c r="G6" s="6"/>
    </row>
    <row r="7" spans="1:7" s="4" customFormat="1" ht="16.5" customHeight="1" x14ac:dyDescent="0.2">
      <c r="A7" s="301" t="s">
        <v>290</v>
      </c>
      <c r="B7" s="5"/>
      <c r="C7" s="5"/>
      <c r="D7" s="6"/>
      <c r="E7" s="6"/>
      <c r="F7" s="6"/>
      <c r="G7" s="6"/>
    </row>
    <row r="8" spans="1:7" ht="13.5" thickBot="1" x14ac:dyDescent="0.25"/>
    <row r="9" spans="1:7" ht="18" x14ac:dyDescent="0.25">
      <c r="A9" s="343" t="s">
        <v>282</v>
      </c>
      <c r="B9" s="344"/>
      <c r="C9" s="345"/>
    </row>
    <row r="10" spans="1:7" s="279" customFormat="1" ht="18" x14ac:dyDescent="0.25">
      <c r="A10" s="294"/>
      <c r="B10" s="293"/>
      <c r="C10" s="295"/>
    </row>
    <row r="11" spans="1:7" s="108" customFormat="1" ht="15" x14ac:dyDescent="0.25">
      <c r="A11" s="280" t="s">
        <v>283</v>
      </c>
      <c r="B11" s="281" t="s">
        <v>263</v>
      </c>
      <c r="C11" s="282" t="s">
        <v>149</v>
      </c>
    </row>
    <row r="12" spans="1:7" ht="14.25" x14ac:dyDescent="0.2">
      <c r="A12" s="283" t="s">
        <v>271</v>
      </c>
      <c r="B12" s="284" t="s">
        <v>264</v>
      </c>
      <c r="C12" s="205"/>
    </row>
    <row r="13" spans="1:7" ht="14.25" x14ac:dyDescent="0.2">
      <c r="A13" s="204" t="s">
        <v>272</v>
      </c>
      <c r="B13" s="285" t="s">
        <v>269</v>
      </c>
      <c r="C13" s="286">
        <f>0.0362741*C12^0.2336249</f>
        <v>0</v>
      </c>
    </row>
    <row r="14" spans="1:7" ht="14.25" x14ac:dyDescent="0.2">
      <c r="A14" s="204" t="s">
        <v>273</v>
      </c>
      <c r="B14" s="285" t="s">
        <v>270</v>
      </c>
      <c r="C14" s="287">
        <f>C12*C13/1000</f>
        <v>0</v>
      </c>
    </row>
    <row r="15" spans="1:7" ht="14.25" x14ac:dyDescent="0.2">
      <c r="A15" s="204" t="s">
        <v>279</v>
      </c>
      <c r="B15" s="285" t="s">
        <v>265</v>
      </c>
      <c r="C15" s="288">
        <f>(C14*30)</f>
        <v>0</v>
      </c>
    </row>
    <row r="16" spans="1:7" ht="14.25" x14ac:dyDescent="0.2">
      <c r="A16" s="204" t="s">
        <v>275</v>
      </c>
      <c r="B16" s="285" t="s">
        <v>95</v>
      </c>
      <c r="C16" s="291"/>
    </row>
    <row r="17" spans="1:3" ht="14.25" x14ac:dyDescent="0.2">
      <c r="A17" s="204" t="s">
        <v>274</v>
      </c>
      <c r="B17" s="285" t="s">
        <v>270</v>
      </c>
      <c r="C17" s="287">
        <f>IFERROR(C14*7/C16,0)</f>
        <v>0</v>
      </c>
    </row>
    <row r="18" spans="1:3" ht="14.25" x14ac:dyDescent="0.2">
      <c r="A18" s="283" t="s">
        <v>266</v>
      </c>
      <c r="B18" s="285" t="s">
        <v>267</v>
      </c>
      <c r="C18" s="228">
        <v>500</v>
      </c>
    </row>
    <row r="19" spans="1:3" ht="14.25" x14ac:dyDescent="0.2">
      <c r="A19" s="204" t="s">
        <v>280</v>
      </c>
      <c r="B19" s="285"/>
      <c r="C19" s="205"/>
    </row>
    <row r="20" spans="1:3" ht="14.25" x14ac:dyDescent="0.2">
      <c r="A20" s="283" t="s">
        <v>281</v>
      </c>
      <c r="B20" s="285" t="s">
        <v>268</v>
      </c>
      <c r="C20" s="205"/>
    </row>
    <row r="21" spans="1:3" ht="14.25" x14ac:dyDescent="0.2">
      <c r="A21" s="204" t="s">
        <v>276</v>
      </c>
      <c r="B21" s="285" t="s">
        <v>265</v>
      </c>
      <c r="C21" s="228">
        <f>IF(AND(C20&gt;=15,C19=1),5.8,C20/2)</f>
        <v>0</v>
      </c>
    </row>
    <row r="22" spans="1:3" ht="14.25" x14ac:dyDescent="0.2">
      <c r="A22" s="283" t="s">
        <v>277</v>
      </c>
      <c r="B22" s="285"/>
      <c r="C22" s="287">
        <f>IFERROR(C17/C21,0)</f>
        <v>0</v>
      </c>
    </row>
    <row r="23" spans="1:3" ht="14.25" x14ac:dyDescent="0.2">
      <c r="A23" s="283" t="s">
        <v>284</v>
      </c>
      <c r="B23" s="285"/>
      <c r="C23" s="296"/>
    </row>
    <row r="24" spans="1:3" ht="15" thickBot="1" x14ac:dyDescent="0.25">
      <c r="A24" s="289" t="s">
        <v>278</v>
      </c>
      <c r="B24" s="290"/>
      <c r="C24" s="292">
        <f>IFERROR(C22/C23,0)</f>
        <v>0</v>
      </c>
    </row>
  </sheetData>
  <mergeCells count="1">
    <mergeCell ref="A9:C9"/>
  </mergeCells>
  <conditionalFormatting sqref="C21">
    <cfRule type="expression" dxfId="0" priority="1">
      <formula>"SE(E(C20&gt;=15;C19=1))"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5</vt:i4>
      </vt:variant>
    </vt:vector>
  </HeadingPairs>
  <TitlesOfParts>
    <vt:vector size="12" baseType="lpstr">
      <vt:lpstr>1. Coleta Domiciliar</vt:lpstr>
      <vt:lpstr>2.Encargos Sociais</vt:lpstr>
      <vt:lpstr>3.CAGED</vt:lpstr>
      <vt:lpstr>4.BDI</vt:lpstr>
      <vt:lpstr>5. Depreciação</vt:lpstr>
      <vt:lpstr>6.Remuneração de capital</vt:lpstr>
      <vt:lpstr>7. Dimensionamento</vt:lpstr>
      <vt:lpstr>AbaDeprec</vt:lpstr>
      <vt:lpstr>AbaRemun</vt:lpstr>
      <vt:lpstr>'1. Coleta Domiciliar'!Area_de_impressao</vt:lpstr>
      <vt:lpstr>'2.Encargos Sociais'!Area_de_impressao</vt:lpstr>
      <vt:lpstr>'1. Coleta Domiciliar'!Titulos_de_impressao</vt:lpstr>
    </vt:vector>
  </TitlesOfParts>
  <Company>dmlu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Planilha de Custos Coleta e Transporte RSU</dc:title>
  <dc:creator>Flavia Burmeister Martins</dc:creator>
  <cp:lastModifiedBy>Tiago da Luz Moroso</cp:lastModifiedBy>
  <cp:lastPrinted>2020-11-06T11:47:09Z</cp:lastPrinted>
  <dcterms:created xsi:type="dcterms:W3CDTF">2000-12-13T10:02:50Z</dcterms:created>
  <dcterms:modified xsi:type="dcterms:W3CDTF">2020-11-06T11:51:42Z</dcterms:modified>
</cp:coreProperties>
</file>