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2510" windowHeight="8040" tabRatio="721" activeTab="1"/>
  </bookViews>
  <sheets>
    <sheet name="Planilha Modelo" sheetId="8" r:id="rId1"/>
    <sheet name="Rincão" sheetId="9" r:id="rId2"/>
    <sheet name="Pai João" sheetId="10" r:id="rId3"/>
  </sheets>
  <calcPr calcId="145621"/>
</workbook>
</file>

<file path=xl/calcChain.xml><?xml version="1.0" encoding="utf-8"?>
<calcChain xmlns="http://schemas.openxmlformats.org/spreadsheetml/2006/main">
  <c r="E63" i="10" l="1"/>
  <c r="E62" i="10"/>
  <c r="E63" i="9"/>
  <c r="E62" i="9"/>
  <c r="E62" i="8" l="1"/>
  <c r="E63" i="8"/>
  <c r="D64" i="8" l="1"/>
  <c r="D64" i="10"/>
  <c r="D64" i="9"/>
  <c r="D148" i="10" l="1"/>
  <c r="D143" i="10"/>
  <c r="D142" i="10"/>
  <c r="D150" i="10" s="1"/>
  <c r="D153" i="10" s="1"/>
  <c r="D113" i="10"/>
  <c r="D97" i="10"/>
  <c r="E96" i="10"/>
  <c r="D96" i="10" s="1"/>
  <c r="D99" i="10" s="1"/>
  <c r="D128" i="10" s="1"/>
  <c r="D88" i="10"/>
  <c r="D89" i="10" s="1"/>
  <c r="D87" i="10"/>
  <c r="D80" i="10"/>
  <c r="D78" i="10"/>
  <c r="D77" i="10"/>
  <c r="D76" i="10"/>
  <c r="D75" i="10"/>
  <c r="D81" i="10" s="1"/>
  <c r="D74" i="10"/>
  <c r="D73" i="10"/>
  <c r="E67" i="10"/>
  <c r="E162" i="10" s="1"/>
  <c r="E60" i="10"/>
  <c r="C66" i="10" s="1"/>
  <c r="E65" i="10" s="1"/>
  <c r="E45" i="10"/>
  <c r="E54" i="10" s="1"/>
  <c r="E42" i="10"/>
  <c r="E37" i="10"/>
  <c r="E39" i="10" s="1"/>
  <c r="D18" i="10"/>
  <c r="E9" i="10"/>
  <c r="D148" i="9"/>
  <c r="D143" i="9"/>
  <c r="D142" i="9"/>
  <c r="D113" i="9"/>
  <c r="D97" i="9"/>
  <c r="E96" i="9"/>
  <c r="D88" i="9"/>
  <c r="D87" i="9"/>
  <c r="D89" i="9" s="1"/>
  <c r="D80" i="9"/>
  <c r="D78" i="9"/>
  <c r="D77" i="9"/>
  <c r="D76" i="9"/>
  <c r="D75" i="9"/>
  <c r="D74" i="9"/>
  <c r="D73" i="9"/>
  <c r="E60" i="9"/>
  <c r="C66" i="9" s="1"/>
  <c r="E65" i="9" s="1"/>
  <c r="E45" i="9"/>
  <c r="E42" i="9"/>
  <c r="E37" i="9"/>
  <c r="E39" i="9" s="1"/>
  <c r="D18" i="9"/>
  <c r="E9" i="9"/>
  <c r="E78" i="10" l="1"/>
  <c r="E74" i="10"/>
  <c r="E119" i="10"/>
  <c r="E114" i="10"/>
  <c r="D114" i="10" s="1"/>
  <c r="D120" i="10" s="1"/>
  <c r="E103" i="10"/>
  <c r="E87" i="10"/>
  <c r="E89" i="10" s="1"/>
  <c r="D118" i="10"/>
  <c r="E73" i="10"/>
  <c r="E113" i="10"/>
  <c r="E106" i="10"/>
  <c r="E77" i="10"/>
  <c r="E117" i="10"/>
  <c r="D117" i="10" s="1"/>
  <c r="E76" i="10"/>
  <c r="E116" i="10"/>
  <c r="D116" i="10" s="1"/>
  <c r="E105" i="10"/>
  <c r="D105" i="10" s="1"/>
  <c r="E80" i="10"/>
  <c r="E75" i="10"/>
  <c r="E160" i="10"/>
  <c r="E115" i="10"/>
  <c r="D115" i="10" s="1"/>
  <c r="E108" i="10"/>
  <c r="D108" i="10" s="1"/>
  <c r="E88" i="10"/>
  <c r="E79" i="10"/>
  <c r="D126" i="10"/>
  <c r="E97" i="10"/>
  <c r="E131" i="10"/>
  <c r="E161" i="10"/>
  <c r="E132" i="10"/>
  <c r="E99" i="10"/>
  <c r="E128" i="10" s="1"/>
  <c r="E54" i="9"/>
  <c r="D81" i="9"/>
  <c r="E67" i="9"/>
  <c r="E162" i="9" s="1"/>
  <c r="D150" i="9"/>
  <c r="D153" i="9" s="1"/>
  <c r="D96" i="9"/>
  <c r="D99" i="9" s="1"/>
  <c r="D128" i="9" s="1"/>
  <c r="E78" i="9"/>
  <c r="E74" i="9"/>
  <c r="E75" i="9"/>
  <c r="E108" i="9"/>
  <c r="D108" i="9" s="1"/>
  <c r="E79" i="9"/>
  <c r="E119" i="9"/>
  <c r="E114" i="9"/>
  <c r="D114" i="9" s="1"/>
  <c r="E103" i="9"/>
  <c r="E87" i="9"/>
  <c r="E76" i="9"/>
  <c r="D118" i="9"/>
  <c r="E77" i="9"/>
  <c r="E73" i="9"/>
  <c r="E116" i="9"/>
  <c r="D116" i="9" s="1"/>
  <c r="E160" i="9"/>
  <c r="E115" i="9"/>
  <c r="D115" i="9" s="1"/>
  <c r="E117" i="9"/>
  <c r="D117" i="9" s="1"/>
  <c r="E113" i="9"/>
  <c r="E120" i="9" s="1"/>
  <c r="E106" i="9"/>
  <c r="E105" i="9"/>
  <c r="D105" i="9" s="1"/>
  <c r="E80" i="9"/>
  <c r="E88" i="9"/>
  <c r="E131" i="9"/>
  <c r="E132" i="9"/>
  <c r="E161" i="9"/>
  <c r="D126" i="9"/>
  <c r="E97" i="9"/>
  <c r="E99" i="9" s="1"/>
  <c r="E128" i="9" s="1"/>
  <c r="E37" i="8"/>
  <c r="E60" i="8"/>
  <c r="C66" i="8" s="1"/>
  <c r="E65" i="8" s="1"/>
  <c r="D113" i="8"/>
  <c r="D88" i="8"/>
  <c r="E42" i="8"/>
  <c r="D148" i="8"/>
  <c r="D143" i="8"/>
  <c r="D142" i="8"/>
  <c r="D150" i="8" s="1"/>
  <c r="D153" i="8" s="1"/>
  <c r="D87" i="8"/>
  <c r="D80" i="8"/>
  <c r="D78" i="8"/>
  <c r="D77" i="8"/>
  <c r="D76" i="8"/>
  <c r="D75" i="8"/>
  <c r="D74" i="8"/>
  <c r="D73" i="8"/>
  <c r="E45" i="8"/>
  <c r="D18" i="8"/>
  <c r="E9" i="8"/>
  <c r="E96" i="8"/>
  <c r="D97" i="8"/>
  <c r="D103" i="10" l="1"/>
  <c r="E104" i="10"/>
  <c r="D104" i="10" s="1"/>
  <c r="E107" i="10"/>
  <c r="D107" i="10" s="1"/>
  <c r="D106" i="10"/>
  <c r="E120" i="10"/>
  <c r="E81" i="10"/>
  <c r="E126" i="10" s="1"/>
  <c r="E90" i="10"/>
  <c r="D90" i="10" s="1"/>
  <c r="D92" i="10" s="1"/>
  <c r="D127" i="10" s="1"/>
  <c r="D120" i="9"/>
  <c r="E81" i="9"/>
  <c r="E126" i="9" s="1"/>
  <c r="E89" i="9"/>
  <c r="E121" i="9"/>
  <c r="D121" i="9" s="1"/>
  <c r="D122" i="9" s="1"/>
  <c r="D130" i="9" s="1"/>
  <c r="D103" i="9"/>
  <c r="E104" i="9"/>
  <c r="D104" i="9" s="1"/>
  <c r="D106" i="9"/>
  <c r="E107" i="9"/>
  <c r="D107" i="9" s="1"/>
  <c r="E54" i="8"/>
  <c r="D89" i="8"/>
  <c r="D81" i="8"/>
  <c r="D126" i="8" s="1"/>
  <c r="E131" i="8"/>
  <c r="E161" i="8"/>
  <c r="E39" i="8"/>
  <c r="E73" i="8" s="1"/>
  <c r="E113" i="8"/>
  <c r="E132" i="8"/>
  <c r="E67" i="8"/>
  <c r="E92" i="10" l="1"/>
  <c r="E127" i="10" s="1"/>
  <c r="E109" i="10"/>
  <c r="E129" i="10" s="1"/>
  <c r="E121" i="10"/>
  <c r="D121" i="10" s="1"/>
  <c r="D122" i="10" s="1"/>
  <c r="D130" i="10" s="1"/>
  <c r="D109" i="10"/>
  <c r="D129" i="10" s="1"/>
  <c r="D133" i="10" s="1"/>
  <c r="D109" i="9"/>
  <c r="D129" i="9" s="1"/>
  <c r="E109" i="9"/>
  <c r="E129" i="9" s="1"/>
  <c r="E90" i="9"/>
  <c r="D90" i="9" s="1"/>
  <c r="D92" i="9" s="1"/>
  <c r="D127" i="9" s="1"/>
  <c r="D133" i="9" s="1"/>
  <c r="E122" i="9"/>
  <c r="E130" i="9" s="1"/>
  <c r="E97" i="8"/>
  <c r="E99" i="8" s="1"/>
  <c r="E128" i="8" s="1"/>
  <c r="E105" i="8"/>
  <c r="D105" i="8" s="1"/>
  <c r="E74" i="8"/>
  <c r="E80" i="8"/>
  <c r="E114" i="8"/>
  <c r="D114" i="8" s="1"/>
  <c r="E116" i="8"/>
  <c r="D116" i="8" s="1"/>
  <c r="E108" i="8"/>
  <c r="D108" i="8" s="1"/>
  <c r="E78" i="8"/>
  <c r="E117" i="8"/>
  <c r="D117" i="8" s="1"/>
  <c r="E160" i="8"/>
  <c r="E103" i="8"/>
  <c r="E104" i="8" s="1"/>
  <c r="D104" i="8" s="1"/>
  <c r="E75" i="8"/>
  <c r="D96" i="8"/>
  <c r="D99" i="8" s="1"/>
  <c r="D128" i="8" s="1"/>
  <c r="E79" i="8"/>
  <c r="E87" i="8"/>
  <c r="E77" i="8"/>
  <c r="E119" i="8"/>
  <c r="E106" i="8"/>
  <c r="E107" i="8" s="1"/>
  <c r="D107" i="8" s="1"/>
  <c r="E76" i="8"/>
  <c r="D118" i="8"/>
  <c r="E88" i="8"/>
  <c r="E115" i="8"/>
  <c r="D115" i="8" s="1"/>
  <c r="E162" i="8"/>
  <c r="E122" i="10" l="1"/>
  <c r="E130" i="10" s="1"/>
  <c r="E133" i="10" s="1"/>
  <c r="E92" i="9"/>
  <c r="E127" i="9" s="1"/>
  <c r="E133" i="9" s="1"/>
  <c r="E81" i="8"/>
  <c r="E126" i="8" s="1"/>
  <c r="D120" i="8"/>
  <c r="E120" i="8"/>
  <c r="D106" i="8"/>
  <c r="E89" i="8"/>
  <c r="E90" i="8" s="1"/>
  <c r="D90" i="8" s="1"/>
  <c r="D92" i="8" s="1"/>
  <c r="D127" i="8" s="1"/>
  <c r="E109" i="8"/>
  <c r="E129" i="8" s="1"/>
  <c r="D103" i="8"/>
  <c r="D109" i="8" s="1"/>
  <c r="D129" i="8" s="1"/>
  <c r="E121" i="8"/>
  <c r="D121" i="8" s="1"/>
  <c r="D122" i="8" s="1"/>
  <c r="D130" i="8" s="1"/>
  <c r="E163" i="10" l="1"/>
  <c r="E164" i="10" s="1"/>
  <c r="E137" i="10"/>
  <c r="E138" i="10" s="1"/>
  <c r="E151" i="10"/>
  <c r="E152" i="10" s="1"/>
  <c r="E163" i="9"/>
  <c r="E164" i="9" s="1"/>
  <c r="E137" i="9"/>
  <c r="E138" i="9" s="1"/>
  <c r="E151" i="9" s="1"/>
  <c r="E152" i="9" s="1"/>
  <c r="E92" i="8"/>
  <c r="E127" i="8" s="1"/>
  <c r="D133" i="8"/>
  <c r="E122" i="8"/>
  <c r="E130" i="8" s="1"/>
  <c r="E133" i="8" s="1"/>
  <c r="E147" i="10" l="1"/>
  <c r="E141" i="10"/>
  <c r="E145" i="10" s="1"/>
  <c r="E150" i="10"/>
  <c r="E153" i="10" s="1"/>
  <c r="E165" i="10" s="1"/>
  <c r="E166" i="10" s="1"/>
  <c r="E167" i="10" s="1"/>
  <c r="E146" i="10"/>
  <c r="E140" i="10"/>
  <c r="E144" i="10"/>
  <c r="E143" i="10"/>
  <c r="E149" i="10"/>
  <c r="E148" i="10"/>
  <c r="E142" i="10"/>
  <c r="E143" i="9"/>
  <c r="E148" i="9"/>
  <c r="E147" i="9"/>
  <c r="E141" i="9"/>
  <c r="E145" i="9" s="1"/>
  <c r="E146" i="9"/>
  <c r="E140" i="9"/>
  <c r="E144" i="9"/>
  <c r="E150" i="9"/>
  <c r="E153" i="9" s="1"/>
  <c r="E165" i="9" s="1"/>
  <c r="E166" i="9" s="1"/>
  <c r="E167" i="9" s="1"/>
  <c r="E149" i="9"/>
  <c r="E142" i="9"/>
  <c r="E163" i="8"/>
  <c r="E164" i="8" s="1"/>
  <c r="E137" i="8"/>
  <c r="E138" i="8" s="1"/>
  <c r="E151" i="8" l="1"/>
  <c r="E152" i="8" s="1"/>
  <c r="E149" i="8" l="1"/>
  <c r="E150" i="8"/>
  <c r="E153" i="8" s="1"/>
  <c r="E165" i="8" s="1"/>
  <c r="E166" i="8" s="1"/>
  <c r="E167" i="8" s="1"/>
  <c r="E143" i="8"/>
  <c r="E148" i="8"/>
  <c r="E142" i="8"/>
  <c r="E140" i="8"/>
  <c r="E147" i="8"/>
  <c r="E146" i="8"/>
  <c r="E144" i="8"/>
  <c r="E141" i="8"/>
  <c r="E145" i="8" s="1"/>
</calcChain>
</file>

<file path=xl/comments1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2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3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sharedStrings.xml><?xml version="1.0" encoding="utf-8"?>
<sst xmlns="http://schemas.openxmlformats.org/spreadsheetml/2006/main" count="840" uniqueCount="191">
  <si>
    <t>Dia:</t>
  </si>
  <si>
    <t>às</t>
  </si>
  <si>
    <t>horas</t>
  </si>
  <si>
    <t>A</t>
  </si>
  <si>
    <t>B</t>
  </si>
  <si>
    <t>C</t>
  </si>
  <si>
    <t>D</t>
  </si>
  <si>
    <t>Data de Apresentação da Proposta (dia/mês/ano)</t>
  </si>
  <si>
    <t>Município/UF</t>
  </si>
  <si>
    <t>Ano Acordo, Convenção ou Sentença Normativa em Dissíso Coletivo</t>
  </si>
  <si>
    <t>N° de meses de execução contratual</t>
  </si>
  <si>
    <t>Tipo de Serviço</t>
  </si>
  <si>
    <t>Unidade de Medida</t>
  </si>
  <si>
    <t xml:space="preserve">Quantidade Total a Contratar </t>
  </si>
  <si>
    <t>Esta tabela poderá ser adaptada às características do serviço contratado, inclusive adaptar rubricas</t>
  </si>
  <si>
    <t>e suas respectivas provisões e ou estimativas, desde que devidamente justificado.</t>
  </si>
  <si>
    <t>As provisões constantes desta planilha poderão não ser necessárias em determinados serviços que</t>
  </si>
  <si>
    <t>não necessitem da dedicação exclusiva dos trabalhadores da contratada para com a Administração.</t>
  </si>
  <si>
    <t>MÃO-DE-OBRA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</si>
  <si>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</si>
  <si>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</si>
  <si>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</si>
  <si>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</si>
  <si>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</si>
  <si>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</si>
  <si>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Nota (1):</t>
  </si>
  <si>
    <t>Nota (2):</t>
  </si>
  <si>
    <t>Nota:</t>
  </si>
  <si>
    <t>Deverá ser elaborado um quadro para cada tipo de serviço.</t>
  </si>
  <si>
    <t>MÓDULO 1</t>
  </si>
  <si>
    <t>COMPOSIÇÃO DA REMUNERAÇÃO</t>
  </si>
  <si>
    <t>E</t>
  </si>
  <si>
    <t>F</t>
  </si>
  <si>
    <t>G</t>
  </si>
  <si>
    <t>H</t>
  </si>
  <si>
    <t>Composição da Remuneração</t>
  </si>
  <si>
    <t>Salário Base</t>
  </si>
  <si>
    <t>Adicional de Insalubridade</t>
  </si>
  <si>
    <t>Adicional Noturno</t>
  </si>
  <si>
    <t>Outros (Especificar)</t>
  </si>
  <si>
    <t>Total da Remuneração</t>
  </si>
  <si>
    <t>Valor (R$)</t>
  </si>
  <si>
    <t>MÓDULO 2</t>
  </si>
  <si>
    <t>BENEFÍCIOS MENSAIS E DIÁRIOS</t>
  </si>
  <si>
    <t>Benefícios Mensais e Diários</t>
  </si>
  <si>
    <t>Transporte</t>
  </si>
  <si>
    <t>Auxilio Alimentação (Vales, Cesta Básica, etc.)</t>
  </si>
  <si>
    <t>Assistência Médica e Familiar</t>
  </si>
  <si>
    <t>Total dos Benefícios Mensais e Diários</t>
  </si>
  <si>
    <t>O valor informado deverá ser o custo real do insumo (descontado o valor eventualmente pago pelo</t>
  </si>
  <si>
    <t>empregado).</t>
  </si>
  <si>
    <t>MÓDULO 3</t>
  </si>
  <si>
    <t>INSUMOS DIVERSOS</t>
  </si>
  <si>
    <t>Insumos Diversos</t>
  </si>
  <si>
    <t>Valores mensais por empregado.</t>
  </si>
  <si>
    <t>Total dos Insumos Diversos</t>
  </si>
  <si>
    <t>MÓDULO 4</t>
  </si>
  <si>
    <t>ENCARGOS SOCIAIS E TRABALHISTAS</t>
  </si>
  <si>
    <t>Submódulo 4.1</t>
  </si>
  <si>
    <t>Encargos Previdenciários e FGTS</t>
  </si>
  <si>
    <t>4.1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</si>
  <si>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</si>
  <si>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</si>
  <si>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</si>
  <si>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</si>
  <si>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</si>
  <si>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</si>
  <si>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</si>
  <si>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%</t>
  </si>
  <si>
    <t>Os percentuais dos Encargos Previdenciários e FGTS são aqueles estabelecidos pela legislação vigente.</t>
  </si>
  <si>
    <t>Percentuais incidentes sobre a remuneração.</t>
  </si>
  <si>
    <t>Submódulo 4.2</t>
  </si>
  <si>
    <t>13° Salário e Adicional de Férias</t>
  </si>
  <si>
    <t>13° Salário</t>
  </si>
  <si>
    <t>Adicional de Férias</t>
  </si>
  <si>
    <t>Subtotal</t>
  </si>
  <si>
    <t>Incidência do Submódulo 4.1 sobre 13° salário e Adicional de Férias</t>
  </si>
  <si>
    <t>Total</t>
  </si>
  <si>
    <t>4.2</t>
  </si>
  <si>
    <t>Submódulo 4.3</t>
  </si>
  <si>
    <t>4.3</t>
  </si>
  <si>
    <t>Afastamento Maternidade</t>
  </si>
  <si>
    <t>Incidência do Submódulo 4.1 sobre Afastamento Maternidade</t>
  </si>
  <si>
    <t>Submódulo 4.4</t>
  </si>
  <si>
    <t>4.4</t>
  </si>
  <si>
    <t>Provisão para Rescisão</t>
  </si>
  <si>
    <t>Férias</t>
  </si>
  <si>
    <t>Ausência por Doença</t>
  </si>
  <si>
    <t>Licença Paternidade</t>
  </si>
  <si>
    <t>Ausências Legais</t>
  </si>
  <si>
    <t>Ausência por Acidente de Trabalho</t>
  </si>
  <si>
    <t>Aviso Prévio Indenizado</t>
  </si>
  <si>
    <t>Multa do FGTS sobre Aviso Prévio Indenizado</t>
  </si>
  <si>
    <t>Aviso Prévio Trabalhado</t>
  </si>
  <si>
    <t>Incidência do Submódulos 4.1 sobre Aviso Prévio Trabalhado</t>
  </si>
  <si>
    <t>Submódulo 4.5</t>
  </si>
  <si>
    <t>4.5</t>
  </si>
  <si>
    <t>Custo de Reposição do Profissional Ausente</t>
  </si>
  <si>
    <t>Composição do Custo de Reposição de Profissional Ausente</t>
  </si>
  <si>
    <t>Incidência do Submódulo 4.1 sobre o Custo de Reposição</t>
  </si>
  <si>
    <t>Quadro Resumo - Módulo 4</t>
  </si>
  <si>
    <t>Encargos Sociais e Trabalhistas</t>
  </si>
  <si>
    <t>Módulo 4 - Encargos Sociais e Trabalhistas</t>
  </si>
  <si>
    <t>4.6</t>
  </si>
  <si>
    <t>Custo de Reposição de Profissional Ausente</t>
  </si>
  <si>
    <t>MÓDULO 5</t>
  </si>
  <si>
    <t>CUSTOS INDIRETOS, TRIBUTOS E LUCRO</t>
  </si>
  <si>
    <t>Custos Indiretos, Tributos e Lucro</t>
  </si>
  <si>
    <t xml:space="preserve">Custos Indiretos </t>
  </si>
  <si>
    <t>Tributos</t>
  </si>
  <si>
    <t>B.1 - Tributos Federais (Especificar)</t>
  </si>
  <si>
    <t>COFINS</t>
  </si>
  <si>
    <t>CSSL</t>
  </si>
  <si>
    <t>PIS</t>
  </si>
  <si>
    <t>B.2 - Tributos Estaduais (Especificar)</t>
  </si>
  <si>
    <t>B.3 - Tributos Municipais (Especificar)</t>
  </si>
  <si>
    <t>ISS</t>
  </si>
  <si>
    <t>B.4 - Outros Tributos (Especificar</t>
  </si>
  <si>
    <t>Lucro</t>
  </si>
  <si>
    <t>Custos Indiretos, Tributos e Lucro por empregado.</t>
  </si>
  <si>
    <t>O valor referente a tributos é obtido aplicando-se o percentual sobre o valor do faturamento.</t>
  </si>
  <si>
    <t>QUADRO-RESUMO DO CUSTO POR EMPREGADO</t>
  </si>
  <si>
    <t>Mão-de-obra vinculada à execução contratual (valor por empregado)</t>
  </si>
  <si>
    <t>Subtotal (A+B+C+D)</t>
  </si>
  <si>
    <t>Valor Total por Empregado</t>
  </si>
  <si>
    <t>Módulo 1 - Composição da Remuneração</t>
  </si>
  <si>
    <t>Módulo 2 - Benefícios Mensais e Diários</t>
  </si>
  <si>
    <t>Módulo 3 - Insumos Diverso (Uniformes, Materiais, Equipamentos e Outros)</t>
  </si>
  <si>
    <t>Módulo 5 - Custos Indiretos, Tributos e Lucro</t>
  </si>
  <si>
    <t>R$</t>
  </si>
  <si>
    <t>Valor da Passagem</t>
  </si>
  <si>
    <t>BC para Desconto</t>
  </si>
  <si>
    <t>Qtde de Passagens / Mês</t>
  </si>
  <si>
    <t>% de Desconto</t>
  </si>
  <si>
    <t>IDENTIFICAÇÃO DO SERVIÇO</t>
  </si>
  <si>
    <t>Processo:</t>
  </si>
  <si>
    <t>Licitação:</t>
  </si>
  <si>
    <t>DADOS DO PROPONENTE</t>
  </si>
  <si>
    <t>Razão Social...................................:</t>
  </si>
  <si>
    <t>CNPJ..............................................:</t>
  </si>
  <si>
    <t xml:space="preserve">Regime de Tributação: (1)Real (2)Presumido (3 e 4)Simples  </t>
  </si>
  <si>
    <t xml:space="preserve">IR </t>
  </si>
  <si>
    <t>INSS ou CPP (Inclui RAT)</t>
  </si>
  <si>
    <t>Seguro Acidente de Trabalho (Incluir RAT)</t>
  </si>
  <si>
    <t>Incidência do FGTS sobre Aviso Prévio Indenizado</t>
  </si>
  <si>
    <t>Total dos Tributos</t>
  </si>
  <si>
    <t>Multa FGTS sobre Aviso Prévio Trabalhado</t>
  </si>
  <si>
    <t>Base de Cálculo</t>
  </si>
  <si>
    <t>Percentual (%)</t>
  </si>
  <si>
    <t>Valor do Auxílio/Dia</t>
  </si>
  <si>
    <t>Dias Trabalhados/Mês</t>
  </si>
  <si>
    <t>Base de Cálculo dos Custos Indiretos</t>
  </si>
  <si>
    <t>Base de Cálculo do Lucro</t>
  </si>
  <si>
    <t>Total Geral</t>
  </si>
  <si>
    <t>Seguro de Vida</t>
  </si>
  <si>
    <t>Tabela do SIMPLES</t>
  </si>
  <si>
    <t>Tributo</t>
  </si>
  <si>
    <t>Alíquota</t>
  </si>
  <si>
    <t>CPP</t>
  </si>
  <si>
    <t>INFORMAÇÕES COMPLEMENTARES - OPTANTES DO SIMPLES</t>
  </si>
  <si>
    <t>Faturamento dos Últimos 12 meses</t>
  </si>
  <si>
    <t>Digite S ou N ==&gt;</t>
  </si>
  <si>
    <t>S</t>
  </si>
  <si>
    <t>Transporte Escolar</t>
  </si>
  <si>
    <t>Motorista</t>
  </si>
  <si>
    <t>Combustível</t>
  </si>
  <si>
    <t>R$/L</t>
  </si>
  <si>
    <t>Km/L</t>
  </si>
  <si>
    <t>Seguro</t>
  </si>
  <si>
    <t>Custo Anual</t>
  </si>
  <si>
    <t>Depreciação</t>
  </si>
  <si>
    <t>Valor do Veículo - FIPE</t>
  </si>
  <si>
    <t>Manutenção com Base no Combustível</t>
  </si>
  <si>
    <t>N</t>
  </si>
  <si>
    <t>,</t>
  </si>
  <si>
    <t>Valor do Km rodado do item</t>
  </si>
  <si>
    <t>Obs.: é obrigatório o preenchimento do campo acima.</t>
  </si>
  <si>
    <t>ANEXO IV-A</t>
  </si>
  <si>
    <t>ANEXO IV-B</t>
  </si>
  <si>
    <t>PLANILHA DE CUSTOS DO TRANSPORTE ESCOLAR</t>
  </si>
  <si>
    <t>Mostardas</t>
  </si>
  <si>
    <t>CCT 2019</t>
  </si>
  <si>
    <t>Média Km Rodado/mês</t>
  </si>
  <si>
    <r>
      <t xml:space="preserve">Planilha de Custos e Formação de Preços - Trajeto </t>
    </r>
    <r>
      <rPr>
        <b/>
        <sz val="14"/>
        <color indexed="10"/>
        <rFont val="Calibri"/>
        <family val="2"/>
      </rPr>
      <t>LINHA Aguapé</t>
    </r>
  </si>
  <si>
    <t>Depreciação Anual (7%)</t>
  </si>
  <si>
    <r>
      <t xml:space="preserve">Planilha de Custos e Formação de Preços - Trajeto </t>
    </r>
    <r>
      <rPr>
        <b/>
        <sz val="9"/>
        <color indexed="10"/>
        <rFont val="Calibri"/>
        <family val="2"/>
      </rPr>
      <t>LINHA Praia Pai João</t>
    </r>
  </si>
  <si>
    <r>
      <t xml:space="preserve">Planilha de Custos e Formação de Preços - Trajeto </t>
    </r>
    <r>
      <rPr>
        <b/>
        <sz val="10"/>
        <color indexed="10"/>
        <rFont val="Calibri"/>
        <family val="2"/>
      </rPr>
      <t>LINHA Rincão</t>
    </r>
  </si>
  <si>
    <t>INSUMOS DIVERSOS ( Custo Mensal)</t>
  </si>
  <si>
    <t>Valores mensal.</t>
  </si>
  <si>
    <t>INSUMOS DIVERSOS (Custo mensal)</t>
  </si>
  <si>
    <t>Valores mensais.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</si>
</sst>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 &quot;#,##0.00"/>
    <numFmt numFmtId="168" formatCode="h:mm;@"/>
    <numFmt numFmtId="169" formatCode="_(* #,##0_);_(* \(#,##0\);_(* &quot;-&quot;??_);_(@_)"/>
    <numFmt numFmtId="170" formatCode="0.000%"/>
    <numFmt numFmtId="171" formatCode="0.0000%"/>
    <numFmt numFmtId="172" formatCode="_(&quot;R$ &quot;* #,##0.000_);_(&quot;R$ &quot;* \(#,##0.000\);_(&quot;R$ &quot;* &quot;-&quot;??_);_(@_)"/>
  </numFmts>
  <fonts count="55" x14ac:knownFonts="1"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i/>
      <sz val="11"/>
      <color indexed="8"/>
      <name val="Calibri"/>
      <family val="2"/>
    </font>
    <font>
      <i/>
      <sz val="10.5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4"/>
      <color indexed="10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indexed="10"/>
      <name val="Calibri"/>
      <family val="2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indexed="8"/>
      <name val="Calibri"/>
      <family val="2"/>
    </font>
    <font>
      <sz val="10"/>
      <color rgb="FFFF0000"/>
      <name val="Calibri"/>
      <family val="2"/>
    </font>
    <font>
      <sz val="10"/>
      <color indexed="8"/>
      <name val="Calibri"/>
      <family val="2"/>
      <scheme val="minor"/>
    </font>
    <font>
      <sz val="10"/>
      <name val="Calibri"/>
      <family val="2"/>
    </font>
    <font>
      <b/>
      <sz val="9"/>
      <color theme="1"/>
      <name val="Arial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679">
    <xf numFmtId="0" fontId="0" fillId="0" borderId="0" xfId="0"/>
    <xf numFmtId="10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3" fillId="2" borderId="1" xfId="0" applyNumberFormat="1" applyFont="1" applyFill="1" applyBorder="1" applyAlignment="1" applyProtection="1">
      <alignment horizontal="distributed" vertical="center"/>
    </xf>
    <xf numFmtId="0" fontId="0" fillId="0" borderId="0" xfId="0" applyProtection="1"/>
    <xf numFmtId="0" fontId="3" fillId="0" borderId="2" xfId="0" applyFont="1" applyBorder="1" applyProtection="1"/>
    <xf numFmtId="0" fontId="0" fillId="0" borderId="3" xfId="0" applyBorder="1" applyProtection="1"/>
    <xf numFmtId="0" fontId="0" fillId="0" borderId="1" xfId="0" applyBorder="1" applyAlignment="1" applyProtection="1"/>
    <xf numFmtId="0" fontId="3" fillId="0" borderId="2" xfId="0" applyFont="1" applyFill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/>
    </xf>
    <xf numFmtId="0" fontId="3" fillId="0" borderId="3" xfId="0" applyFont="1" applyBorder="1" applyProtection="1"/>
    <xf numFmtId="10" fontId="2" fillId="2" borderId="1" xfId="2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/>
    </xf>
    <xf numFmtId="10" fontId="3" fillId="2" borderId="1" xfId="0" applyNumberFormat="1" applyFont="1" applyFill="1" applyBorder="1" applyAlignment="1" applyProtection="1">
      <alignment horizontal="center"/>
    </xf>
    <xf numFmtId="10" fontId="2" fillId="2" borderId="1" xfId="2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64" fontId="0" fillId="2" borderId="1" xfId="0" applyNumberFormat="1" applyFill="1" applyBorder="1" applyAlignment="1" applyProtection="1">
      <alignment horizontal="distributed"/>
    </xf>
    <xf numFmtId="164" fontId="0" fillId="2" borderId="1" xfId="0" applyNumberFormat="1" applyFont="1" applyFill="1" applyBorder="1" applyAlignment="1" applyProtection="1">
      <alignment horizontal="distributed"/>
    </xf>
    <xf numFmtId="164" fontId="0" fillId="0" borderId="1" xfId="0" applyNumberFormat="1" applyFill="1" applyBorder="1" applyAlignment="1" applyProtection="1">
      <alignment horizontal="distributed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distributed" vertical="center"/>
    </xf>
    <xf numFmtId="164" fontId="0" fillId="0" borderId="1" xfId="0" applyNumberFormat="1" applyFill="1" applyBorder="1" applyAlignment="1" applyProtection="1">
      <alignment horizontal="distributed"/>
    </xf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Protection="1"/>
    <xf numFmtId="0" fontId="3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14" fontId="16" fillId="0" borderId="0" xfId="0" applyNumberFormat="1" applyFont="1" applyBorder="1" applyAlignment="1" applyProtection="1">
      <alignment horizontal="right"/>
      <protection locked="0"/>
    </xf>
    <xf numFmtId="168" fontId="16" fillId="0" borderId="0" xfId="0" applyNumberFormat="1" applyFont="1" applyBorder="1" applyProtection="1">
      <protection locked="0"/>
    </xf>
    <xf numFmtId="0" fontId="18" fillId="0" borderId="1" xfId="0" applyFont="1" applyBorder="1" applyAlignment="1" applyProtection="1">
      <protection locked="0"/>
    </xf>
    <xf numFmtId="0" fontId="16" fillId="0" borderId="1" xfId="0" applyFont="1" applyBorder="1" applyAlignment="1" applyProtection="1">
      <alignment horizontal="center"/>
      <protection locked="0"/>
    </xf>
    <xf numFmtId="9" fontId="19" fillId="0" borderId="1" xfId="0" applyNumberFormat="1" applyFont="1" applyBorder="1" applyAlignment="1" applyProtection="1">
      <protection locked="0"/>
    </xf>
    <xf numFmtId="10" fontId="16" fillId="0" borderId="1" xfId="0" applyNumberFormat="1" applyFont="1" applyBorder="1" applyAlignment="1" applyProtection="1">
      <alignment horizontal="right"/>
      <protection locked="0"/>
    </xf>
    <xf numFmtId="164" fontId="19" fillId="0" borderId="1" xfId="0" applyNumberFormat="1" applyFont="1" applyBorder="1" applyAlignment="1" applyProtection="1">
      <alignment horizontal="distributed" vertical="center"/>
      <protection locked="0"/>
    </xf>
    <xf numFmtId="10" fontId="20" fillId="0" borderId="1" xfId="2" applyNumberFormat="1" applyFont="1" applyBorder="1" applyAlignment="1" applyProtection="1">
      <alignment horizontal="center" vertical="center"/>
      <protection locked="0"/>
    </xf>
    <xf numFmtId="10" fontId="20" fillId="0" borderId="1" xfId="2" applyNumberFormat="1" applyFont="1" applyFill="1" applyBorder="1" applyAlignment="1" applyProtection="1">
      <alignment horizontal="center"/>
      <protection locked="0"/>
    </xf>
    <xf numFmtId="0" fontId="16" fillId="0" borderId="1" xfId="0" applyFont="1" applyBorder="1" applyAlignment="1" applyProtection="1">
      <alignment vertical="center" wrapText="1"/>
      <protection locked="0"/>
    </xf>
    <xf numFmtId="10" fontId="20" fillId="0" borderId="1" xfId="2" applyNumberFormat="1" applyFont="1" applyFill="1" applyBorder="1" applyAlignment="1" applyProtection="1">
      <alignment horizontal="center" vertical="center"/>
      <protection locked="0"/>
    </xf>
    <xf numFmtId="10" fontId="20" fillId="0" borderId="1" xfId="2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12" fillId="0" borderId="1" xfId="0" applyFont="1" applyBorder="1" applyAlignment="1" applyProtection="1"/>
    <xf numFmtId="14" fontId="16" fillId="0" borderId="1" xfId="0" applyNumberFormat="1" applyFont="1" applyBorder="1" applyAlignment="1" applyProtection="1">
      <alignment horizontal="right" vertical="center"/>
      <protection locked="0"/>
    </xf>
    <xf numFmtId="1" fontId="16" fillId="0" borderId="1" xfId="0" applyNumberFormat="1" applyFont="1" applyBorder="1" applyAlignment="1" applyProtection="1">
      <alignment vertical="center"/>
      <protection locked="0"/>
    </xf>
    <xf numFmtId="169" fontId="16" fillId="0" borderId="1" xfId="3" applyNumberFormat="1" applyFont="1" applyBorder="1" applyAlignment="1" applyProtection="1">
      <alignment horizontal="distributed"/>
      <protection locked="0"/>
    </xf>
    <xf numFmtId="164" fontId="22" fillId="0" borderId="1" xfId="0" applyNumberFormat="1" applyFont="1" applyFill="1" applyBorder="1" applyAlignment="1" applyProtection="1">
      <alignment horizontal="distributed" vertical="distributed" justifyLastLine="1"/>
    </xf>
    <xf numFmtId="164" fontId="16" fillId="0" borderId="1" xfId="0" applyNumberFormat="1" applyFont="1" applyFill="1" applyBorder="1" applyAlignment="1" applyProtection="1">
      <alignment horizontal="distributed" vertical="center"/>
    </xf>
    <xf numFmtId="164" fontId="23" fillId="0" borderId="1" xfId="0" applyNumberFormat="1" applyFont="1" applyFill="1" applyBorder="1" applyAlignment="1" applyProtection="1">
      <alignment horizontal="distributed" vertical="center"/>
    </xf>
    <xf numFmtId="164" fontId="20" fillId="0" borderId="1" xfId="0" applyNumberFormat="1" applyFont="1" applyFill="1" applyBorder="1" applyAlignment="1" applyProtection="1">
      <alignment horizontal="distributed" vertical="center"/>
    </xf>
    <xf numFmtId="170" fontId="20" fillId="0" borderId="1" xfId="2" applyNumberFormat="1" applyFont="1" applyBorder="1" applyAlignment="1" applyProtection="1">
      <alignment horizontal="center"/>
      <protection locked="0"/>
    </xf>
    <xf numFmtId="17" fontId="16" fillId="0" borderId="0" xfId="0" applyNumberFormat="1" applyFont="1" applyAlignment="1" applyProtection="1">
      <alignment horizontal="right"/>
      <protection locked="0"/>
    </xf>
    <xf numFmtId="167" fontId="0" fillId="5" borderId="1" xfId="0" applyNumberFormat="1" applyFill="1" applyBorder="1" applyAlignment="1" applyProtection="1">
      <alignment horizontal="distributed"/>
    </xf>
    <xf numFmtId="164" fontId="0" fillId="5" borderId="1" xfId="0" applyNumberFormat="1" applyFill="1" applyBorder="1" applyAlignment="1" applyProtection="1">
      <alignment horizontal="distributed" vertical="center"/>
    </xf>
    <xf numFmtId="171" fontId="20" fillId="5" borderId="1" xfId="2" applyNumberFormat="1" applyFon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distributed" vertical="center"/>
      <protection locked="0"/>
    </xf>
    <xf numFmtId="167" fontId="16" fillId="0" borderId="1" xfId="0" applyNumberFormat="1" applyFont="1" applyBorder="1" applyAlignment="1" applyProtection="1">
      <alignment horizontal="distributed"/>
      <protection locked="0"/>
    </xf>
    <xf numFmtId="10" fontId="17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23" fillId="0" borderId="1" xfId="0" applyFont="1" applyBorder="1" applyAlignment="1" applyProtection="1">
      <alignment horizontal="center"/>
    </xf>
    <xf numFmtId="164" fontId="12" fillId="0" borderId="1" xfId="0" applyNumberFormat="1" applyFont="1" applyBorder="1" applyAlignment="1" applyProtection="1">
      <alignment horizontal="distributed" vertical="distributed"/>
    </xf>
    <xf numFmtId="0" fontId="17" fillId="0" borderId="1" xfId="0" applyFont="1" applyBorder="1" applyAlignment="1" applyProtection="1">
      <alignment horizontal="center"/>
    </xf>
    <xf numFmtId="0" fontId="16" fillId="0" borderId="1" xfId="0" applyFont="1" applyFill="1" applyBorder="1" applyAlignment="1" applyProtection="1">
      <protection locked="0"/>
    </xf>
    <xf numFmtId="167" fontId="16" fillId="0" borderId="1" xfId="0" applyNumberFormat="1" applyFont="1" applyFill="1" applyBorder="1" applyAlignment="1" applyProtection="1">
      <alignment horizontal="distributed"/>
      <protection locked="0"/>
    </xf>
    <xf numFmtId="167" fontId="19" fillId="5" borderId="1" xfId="0" applyNumberFormat="1" applyFont="1" applyFill="1" applyBorder="1" applyAlignment="1" applyProtection="1">
      <alignment horizontal="distributed" vertical="justify" justifyLastLine="1"/>
    </xf>
    <xf numFmtId="164" fontId="16" fillId="0" borderId="1" xfId="0" applyNumberFormat="1" applyFont="1" applyFill="1" applyBorder="1" applyAlignment="1" applyProtection="1">
      <alignment horizontal="distributed" vertical="center"/>
      <protection locked="0"/>
    </xf>
    <xf numFmtId="164" fontId="13" fillId="5" borderId="1" xfId="0" applyNumberFormat="1" applyFont="1" applyFill="1" applyBorder="1" applyAlignment="1" applyProtection="1">
      <alignment horizontal="center"/>
    </xf>
    <xf numFmtId="0" fontId="13" fillId="0" borderId="1" xfId="0" applyFont="1" applyFill="1" applyBorder="1" applyAlignment="1" applyProtection="1">
      <alignment horizontal="center"/>
      <protection locked="0"/>
    </xf>
    <xf numFmtId="164" fontId="22" fillId="0" borderId="6" xfId="0" applyNumberFormat="1" applyFont="1" applyBorder="1" applyAlignment="1" applyProtection="1">
      <alignment horizontal="distributed"/>
    </xf>
    <xf numFmtId="164" fontId="13" fillId="5" borderId="1" xfId="0" applyNumberFormat="1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164" fontId="22" fillId="0" borderId="6" xfId="0" applyNumberFormat="1" applyFont="1" applyFill="1" applyBorder="1" applyAlignment="1" applyProtection="1">
      <alignment horizontal="distributed" vertical="center"/>
    </xf>
    <xf numFmtId="0" fontId="0" fillId="0" borderId="1" xfId="0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horizontal="distributed" vertical="distributed"/>
    </xf>
    <xf numFmtId="165" fontId="15" fillId="3" borderId="1" xfId="1" applyFont="1" applyFill="1" applyBorder="1" applyAlignment="1" applyProtection="1">
      <alignment horizontal="justify" vertical="center"/>
    </xf>
    <xf numFmtId="165" fontId="15" fillId="0" borderId="1" xfId="1" applyFont="1" applyBorder="1" applyAlignment="1" applyProtection="1">
      <protection locked="0"/>
    </xf>
    <xf numFmtId="0" fontId="17" fillId="6" borderId="1" xfId="0" applyFont="1" applyFill="1" applyBorder="1" applyAlignment="1" applyProtection="1">
      <alignment horizontal="center" vertical="center"/>
    </xf>
    <xf numFmtId="0" fontId="17" fillId="6" borderId="1" xfId="0" applyFont="1" applyFill="1" applyBorder="1" applyAlignment="1" applyProtection="1">
      <alignment horizontal="center"/>
    </xf>
    <xf numFmtId="0" fontId="17" fillId="6" borderId="1" xfId="0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protection locked="0"/>
    </xf>
    <xf numFmtId="9" fontId="17" fillId="6" borderId="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 applyProtection="1"/>
    <xf numFmtId="164" fontId="0" fillId="0" borderId="0" xfId="0" applyNumberFormat="1" applyProtection="1"/>
    <xf numFmtId="10" fontId="2" fillId="7" borderId="1" xfId="2" applyNumberFormat="1" applyFont="1" applyFill="1" applyBorder="1" applyAlignment="1" applyProtection="1">
      <alignment horizontal="center"/>
    </xf>
    <xf numFmtId="164" fontId="0" fillId="7" borderId="1" xfId="0" applyNumberFormat="1" applyFill="1" applyBorder="1" applyAlignment="1" applyProtection="1">
      <alignment horizontal="distributed" vertical="center"/>
    </xf>
    <xf numFmtId="10" fontId="20" fillId="5" borderId="1" xfId="2" applyNumberFormat="1" applyFont="1" applyFill="1" applyBorder="1" applyAlignment="1" applyProtection="1">
      <alignment horizontal="center" vertical="center"/>
      <protection locked="0"/>
    </xf>
    <xf numFmtId="0" fontId="16" fillId="8" borderId="1" xfId="0" applyFont="1" applyFill="1" applyBorder="1" applyAlignment="1" applyProtection="1">
      <alignment horizontal="right"/>
      <protection locked="0"/>
    </xf>
    <xf numFmtId="165" fontId="16" fillId="8" borderId="1" xfId="3" applyNumberFormat="1" applyFont="1" applyFill="1" applyBorder="1" applyAlignment="1" applyProtection="1">
      <alignment horizontal="right"/>
      <protection locked="0"/>
    </xf>
    <xf numFmtId="14" fontId="16" fillId="8" borderId="1" xfId="0" applyNumberFormat="1" applyFont="1" applyFill="1" applyBorder="1" applyAlignment="1" applyProtection="1">
      <alignment horizontal="right"/>
      <protection locked="0"/>
    </xf>
    <xf numFmtId="164" fontId="19" fillId="8" borderId="1" xfId="0" applyNumberFormat="1" applyFont="1" applyFill="1" applyBorder="1" applyAlignment="1" applyProtection="1">
      <alignment horizontal="distributed" vertical="center"/>
      <protection locked="0"/>
    </xf>
    <xf numFmtId="9" fontId="0" fillId="8" borderId="1" xfId="0" applyNumberFormat="1" applyFill="1" applyBorder="1" applyAlignment="1" applyProtection="1">
      <protection locked="0"/>
    </xf>
    <xf numFmtId="1" fontId="21" fillId="8" borderId="1" xfId="0" applyNumberFormat="1" applyFont="1" applyFill="1" applyBorder="1" applyAlignment="1" applyProtection="1">
      <alignment horizontal="right"/>
      <protection locked="0"/>
    </xf>
    <xf numFmtId="2" fontId="16" fillId="8" borderId="1" xfId="0" applyNumberFormat="1" applyFont="1" applyFill="1" applyBorder="1" applyAlignment="1" applyProtection="1">
      <alignment horizontal="center"/>
    </xf>
    <xf numFmtId="172" fontId="16" fillId="8" borderId="1" xfId="1" applyNumberFormat="1" applyFont="1" applyFill="1" applyBorder="1" applyAlignment="1" applyProtection="1">
      <alignment horizontal="center"/>
    </xf>
    <xf numFmtId="165" fontId="16" fillId="8" borderId="1" xfId="1" applyFont="1" applyFill="1" applyBorder="1" applyAlignment="1" applyProtection="1"/>
    <xf numFmtId="165" fontId="16" fillId="8" borderId="1" xfId="1" applyFont="1" applyFill="1" applyBorder="1" applyAlignment="1" applyProtection="1">
      <protection locked="0"/>
    </xf>
    <xf numFmtId="0" fontId="12" fillId="0" borderId="1" xfId="0" applyFont="1" applyBorder="1" applyAlignment="1" applyProtection="1">
      <alignment horizontal="left"/>
    </xf>
    <xf numFmtId="0" fontId="27" fillId="0" borderId="0" xfId="0" applyFont="1" applyProtection="1"/>
    <xf numFmtId="0" fontId="28" fillId="0" borderId="0" xfId="0" applyFont="1" applyProtection="1"/>
    <xf numFmtId="0" fontId="28" fillId="0" borderId="0" xfId="0" applyFont="1" applyAlignment="1" applyProtection="1">
      <alignment horizontal="right"/>
    </xf>
    <xf numFmtId="17" fontId="30" fillId="0" borderId="0" xfId="0" applyNumberFormat="1" applyFont="1" applyAlignment="1" applyProtection="1">
      <alignment horizontal="right"/>
      <protection locked="0"/>
    </xf>
    <xf numFmtId="14" fontId="30" fillId="0" borderId="0" xfId="0" applyNumberFormat="1" applyFont="1" applyBorder="1" applyAlignment="1" applyProtection="1">
      <alignment horizontal="right"/>
      <protection locked="0"/>
    </xf>
    <xf numFmtId="0" fontId="28" fillId="0" borderId="0" xfId="0" applyFont="1" applyAlignment="1" applyProtection="1">
      <alignment horizontal="center"/>
    </xf>
    <xf numFmtId="168" fontId="30" fillId="0" borderId="0" xfId="0" applyNumberFormat="1" applyFont="1" applyBorder="1" applyProtection="1">
      <protection locked="0"/>
    </xf>
    <xf numFmtId="0" fontId="31" fillId="0" borderId="1" xfId="0" applyFont="1" applyBorder="1" applyAlignment="1" applyProtection="1">
      <protection locked="0"/>
    </xf>
    <xf numFmtId="0" fontId="28" fillId="0" borderId="1" xfId="0" applyFont="1" applyBorder="1" applyAlignment="1" applyProtection="1">
      <alignment horizontal="right"/>
    </xf>
    <xf numFmtId="0" fontId="28" fillId="0" borderId="1" xfId="0" applyFont="1" applyBorder="1" applyAlignment="1" applyProtection="1">
      <alignment horizontal="center"/>
    </xf>
    <xf numFmtId="14" fontId="30" fillId="0" borderId="1" xfId="0" applyNumberFormat="1" applyFont="1" applyBorder="1" applyAlignment="1" applyProtection="1">
      <alignment horizontal="right" vertical="center"/>
      <protection locked="0"/>
    </xf>
    <xf numFmtId="1" fontId="30" fillId="0" borderId="1" xfId="0" applyNumberFormat="1" applyFont="1" applyBorder="1" applyAlignment="1" applyProtection="1">
      <alignment vertical="center"/>
      <protection locked="0"/>
    </xf>
    <xf numFmtId="0" fontId="27" fillId="0" borderId="1" xfId="0" applyFont="1" applyBorder="1" applyAlignment="1" applyProtection="1">
      <alignment horizontal="center"/>
    </xf>
    <xf numFmtId="0" fontId="32" fillId="0" borderId="1" xfId="0" applyFont="1" applyBorder="1" applyAlignment="1" applyProtection="1">
      <alignment horizontal="center"/>
    </xf>
    <xf numFmtId="0" fontId="28" fillId="0" borderId="2" xfId="0" applyFont="1" applyBorder="1" applyProtection="1"/>
    <xf numFmtId="0" fontId="27" fillId="0" borderId="3" xfId="0" applyFont="1" applyBorder="1" applyProtection="1"/>
    <xf numFmtId="0" fontId="30" fillId="8" borderId="1" xfId="0" applyFont="1" applyFill="1" applyBorder="1" applyAlignment="1" applyProtection="1">
      <alignment horizontal="right"/>
      <protection locked="0"/>
    </xf>
    <xf numFmtId="165" fontId="30" fillId="8" borderId="1" xfId="3" applyNumberFormat="1" applyFont="1" applyFill="1" applyBorder="1" applyAlignment="1" applyProtection="1">
      <alignment horizontal="right"/>
      <protection locked="0"/>
    </xf>
    <xf numFmtId="14" fontId="30" fillId="8" borderId="1" xfId="0" applyNumberFormat="1" applyFont="1" applyFill="1" applyBorder="1" applyAlignment="1" applyProtection="1">
      <alignment horizontal="right"/>
      <protection locked="0"/>
    </xf>
    <xf numFmtId="0" fontId="28" fillId="0" borderId="4" xfId="0" applyFont="1" applyBorder="1" applyProtection="1"/>
    <xf numFmtId="0" fontId="28" fillId="2" borderId="1" xfId="0" applyFont="1" applyFill="1" applyBorder="1" applyAlignment="1" applyProtection="1">
      <alignment horizontal="center"/>
    </xf>
    <xf numFmtId="164" fontId="28" fillId="2" borderId="1" xfId="0" applyNumberFormat="1" applyFont="1" applyFill="1" applyBorder="1" applyAlignment="1" applyProtection="1">
      <alignment horizontal="distributed" vertical="center"/>
    </xf>
    <xf numFmtId="0" fontId="27" fillId="0" borderId="1" xfId="0" applyFont="1" applyBorder="1" applyAlignment="1" applyProtection="1"/>
    <xf numFmtId="167" fontId="27" fillId="5" borderId="1" xfId="0" applyNumberFormat="1" applyFont="1" applyFill="1" applyBorder="1" applyAlignment="1" applyProtection="1">
      <alignment horizontal="distributed"/>
    </xf>
    <xf numFmtId="0" fontId="30" fillId="0" borderId="1" xfId="0" applyFont="1" applyFill="1" applyBorder="1" applyAlignment="1" applyProtection="1">
      <protection locked="0"/>
    </xf>
    <xf numFmtId="167" fontId="30" fillId="0" borderId="1" xfId="0" applyNumberFormat="1" applyFont="1" applyFill="1" applyBorder="1" applyAlignment="1" applyProtection="1">
      <alignment horizontal="distributed"/>
      <protection locked="0"/>
    </xf>
    <xf numFmtId="167" fontId="30" fillId="0" borderId="1" xfId="0" applyNumberFormat="1" applyFont="1" applyBorder="1" applyAlignment="1" applyProtection="1">
      <alignment horizontal="distributed"/>
      <protection locked="0"/>
    </xf>
    <xf numFmtId="169" fontId="30" fillId="0" borderId="1" xfId="3" applyNumberFormat="1" applyFont="1" applyBorder="1" applyAlignment="1" applyProtection="1">
      <alignment horizontal="distributed"/>
      <protection locked="0"/>
    </xf>
    <xf numFmtId="0" fontId="27" fillId="0" borderId="1" xfId="0" applyFont="1" applyBorder="1" applyAlignment="1" applyProtection="1">
      <alignment horizontal="left"/>
    </xf>
    <xf numFmtId="10" fontId="30" fillId="0" borderId="1" xfId="0" applyNumberFormat="1" applyFont="1" applyBorder="1" applyAlignment="1" applyProtection="1">
      <alignment horizontal="right"/>
      <protection locked="0"/>
    </xf>
    <xf numFmtId="0" fontId="28" fillId="0" borderId="2" xfId="0" applyFont="1" applyFill="1" applyBorder="1" applyAlignment="1" applyProtection="1">
      <alignment horizontal="center"/>
    </xf>
    <xf numFmtId="0" fontId="33" fillId="6" borderId="1" xfId="0" applyFont="1" applyFill="1" applyBorder="1" applyAlignment="1" applyProtection="1">
      <alignment horizontal="center" vertical="center"/>
    </xf>
    <xf numFmtId="2" fontId="30" fillId="8" borderId="1" xfId="0" applyNumberFormat="1" applyFont="1" applyFill="1" applyBorder="1" applyAlignment="1" applyProtection="1">
      <alignment horizontal="center"/>
    </xf>
    <xf numFmtId="172" fontId="30" fillId="8" borderId="1" xfId="1" applyNumberFormat="1" applyFont="1" applyFill="1" applyBorder="1" applyAlignment="1" applyProtection="1">
      <alignment horizontal="center"/>
    </xf>
    <xf numFmtId="165" fontId="27" fillId="0" borderId="0" xfId="0" applyNumberFormat="1" applyFont="1" applyProtection="1"/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center" vertical="center"/>
    </xf>
    <xf numFmtId="0" fontId="33" fillId="6" borderId="1" xfId="0" applyFont="1" applyFill="1" applyBorder="1" applyAlignment="1" applyProtection="1">
      <alignment horizontal="center"/>
    </xf>
    <xf numFmtId="165" fontId="30" fillId="8" borderId="1" xfId="1" applyFont="1" applyFill="1" applyBorder="1" applyAlignment="1" applyProtection="1"/>
    <xf numFmtId="165" fontId="27" fillId="3" borderId="1" xfId="1" applyFont="1" applyFill="1" applyBorder="1" applyAlignment="1" applyProtection="1">
      <alignment horizontal="justify" vertical="center"/>
    </xf>
    <xf numFmtId="165" fontId="30" fillId="8" borderId="1" xfId="1" applyFont="1" applyFill="1" applyBorder="1" applyAlignment="1" applyProtection="1">
      <protection locked="0"/>
    </xf>
    <xf numFmtId="165" fontId="27" fillId="0" borderId="1" xfId="1" applyFont="1" applyBorder="1" applyAlignment="1" applyProtection="1">
      <protection locked="0"/>
    </xf>
    <xf numFmtId="0" fontId="33" fillId="6" borderId="1" xfId="0" applyFont="1" applyFill="1" applyBorder="1" applyAlignment="1" applyProtection="1">
      <alignment horizontal="center"/>
      <protection locked="0"/>
    </xf>
    <xf numFmtId="9" fontId="33" fillId="6" borderId="1" xfId="0" applyNumberFormat="1" applyFont="1" applyFill="1" applyBorder="1" applyAlignment="1" applyProtection="1">
      <alignment horizontal="center"/>
      <protection locked="0"/>
    </xf>
    <xf numFmtId="165" fontId="27" fillId="0" borderId="1" xfId="0" applyNumberFormat="1" applyFont="1" applyBorder="1" applyAlignment="1" applyProtection="1">
      <protection locked="0"/>
    </xf>
    <xf numFmtId="9" fontId="27" fillId="8" borderId="1" xfId="0" applyNumberFormat="1" applyFont="1" applyFill="1" applyBorder="1" applyAlignment="1" applyProtection="1">
      <protection locked="0"/>
    </xf>
    <xf numFmtId="0" fontId="28" fillId="0" borderId="4" xfId="0" applyFont="1" applyFill="1" applyBorder="1" applyAlignment="1" applyProtection="1">
      <alignment horizontal="center"/>
    </xf>
    <xf numFmtId="10" fontId="10" fillId="0" borderId="1" xfId="2" applyNumberFormat="1" applyFont="1" applyBorder="1" applyAlignment="1" applyProtection="1">
      <alignment horizontal="center"/>
    </xf>
    <xf numFmtId="164" fontId="27" fillId="0" borderId="1" xfId="0" applyNumberFormat="1" applyFont="1" applyFill="1" applyBorder="1" applyAlignment="1" applyProtection="1">
      <alignment horizontal="distributed" vertical="center"/>
    </xf>
    <xf numFmtId="10" fontId="10" fillId="7" borderId="1" xfId="2" applyNumberFormat="1" applyFont="1" applyFill="1" applyBorder="1" applyAlignment="1" applyProtection="1">
      <alignment horizontal="center"/>
    </xf>
    <xf numFmtId="164" fontId="27" fillId="7" borderId="1" xfId="0" applyNumberFormat="1" applyFont="1" applyFill="1" applyBorder="1" applyAlignment="1" applyProtection="1">
      <alignment horizontal="distributed" vertical="center"/>
    </xf>
    <xf numFmtId="10" fontId="35" fillId="5" borderId="1" xfId="2" applyNumberFormat="1" applyFont="1" applyFill="1" applyBorder="1" applyAlignment="1" applyProtection="1">
      <alignment horizontal="center" vertical="center"/>
      <protection locked="0"/>
    </xf>
    <xf numFmtId="164" fontId="27" fillId="5" borderId="1" xfId="0" applyNumberFormat="1" applyFont="1" applyFill="1" applyBorder="1" applyAlignment="1" applyProtection="1">
      <alignment horizontal="distributed" vertical="center"/>
    </xf>
    <xf numFmtId="10" fontId="28" fillId="2" borderId="1" xfId="2" applyNumberFormat="1" applyFont="1" applyFill="1" applyBorder="1" applyAlignment="1" applyProtection="1">
      <alignment horizontal="center"/>
    </xf>
    <xf numFmtId="0" fontId="28" fillId="0" borderId="3" xfId="0" applyFont="1" applyBorder="1" applyProtection="1"/>
    <xf numFmtId="10" fontId="10" fillId="2" borderId="1" xfId="2" applyNumberFormat="1" applyFont="1" applyFill="1" applyBorder="1" applyAlignment="1" applyProtection="1">
      <alignment horizontal="center"/>
    </xf>
    <xf numFmtId="164" fontId="27" fillId="2" borderId="1" xfId="0" applyNumberFormat="1" applyFont="1" applyFill="1" applyBorder="1" applyAlignment="1" applyProtection="1">
      <alignment horizontal="distributed" vertical="center"/>
    </xf>
    <xf numFmtId="164" fontId="12" fillId="5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center"/>
      <protection locked="0"/>
    </xf>
    <xf numFmtId="10" fontId="10" fillId="0" borderId="1" xfId="2" applyNumberFormat="1" applyFont="1" applyFill="1" applyBorder="1" applyAlignment="1" applyProtection="1">
      <alignment horizontal="center"/>
    </xf>
    <xf numFmtId="164" fontId="36" fillId="0" borderId="6" xfId="0" applyNumberFormat="1" applyFont="1" applyBorder="1" applyAlignment="1" applyProtection="1">
      <alignment horizontal="distributed"/>
    </xf>
    <xf numFmtId="10" fontId="10" fillId="0" borderId="1" xfId="2" applyNumberFormat="1" applyFont="1" applyFill="1" applyBorder="1" applyAlignment="1" applyProtection="1">
      <alignment horizontal="center" vertical="center"/>
    </xf>
    <xf numFmtId="164" fontId="35" fillId="0" borderId="1" xfId="0" applyNumberFormat="1" applyFont="1" applyFill="1" applyBorder="1" applyAlignment="1" applyProtection="1">
      <alignment horizontal="distributed" vertical="center"/>
    </xf>
    <xf numFmtId="164" fontId="32" fillId="0" borderId="1" xfId="0" applyNumberFormat="1" applyFont="1" applyFill="1" applyBorder="1" applyAlignment="1" applyProtection="1">
      <alignment horizontal="distributed" vertical="center"/>
    </xf>
    <xf numFmtId="164" fontId="30" fillId="0" borderId="1" xfId="0" applyNumberFormat="1" applyFont="1" applyFill="1" applyBorder="1" applyAlignment="1" applyProtection="1">
      <alignment horizontal="distributed" vertical="center"/>
    </xf>
    <xf numFmtId="0" fontId="28" fillId="0" borderId="5" xfId="0" applyFont="1" applyBorder="1" applyAlignment="1" applyProtection="1">
      <alignment horizontal="center" vertical="center"/>
    </xf>
    <xf numFmtId="10" fontId="28" fillId="2" borderId="1" xfId="0" applyNumberFormat="1" applyFont="1" applyFill="1" applyBorder="1" applyAlignment="1" applyProtection="1">
      <alignment horizontal="center"/>
    </xf>
    <xf numFmtId="0" fontId="28" fillId="2" borderId="1" xfId="0" applyFont="1" applyFill="1" applyBorder="1" applyAlignment="1" applyProtection="1">
      <alignment horizontal="center" vertical="center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0" fontId="10" fillId="0" borderId="1" xfId="2" applyNumberFormat="1" applyFont="1" applyBorder="1" applyAlignment="1" applyProtection="1">
      <alignment horizontal="center" vertical="center"/>
    </xf>
    <xf numFmtId="164" fontId="36" fillId="0" borderId="6" xfId="0" applyNumberFormat="1" applyFont="1" applyFill="1" applyBorder="1" applyAlignment="1" applyProtection="1">
      <alignment horizontal="distributed" vertical="center"/>
    </xf>
    <xf numFmtId="0" fontId="30" fillId="0" borderId="1" xfId="0" applyFont="1" applyBorder="1" applyAlignment="1" applyProtection="1">
      <alignment horizontal="center"/>
      <protection locked="0"/>
    </xf>
    <xf numFmtId="10" fontId="35" fillId="0" borderId="1" xfId="2" applyNumberFormat="1" applyFont="1" applyBorder="1" applyAlignment="1" applyProtection="1">
      <alignment horizontal="center"/>
      <protection locked="0"/>
    </xf>
    <xf numFmtId="164" fontId="30" fillId="0" borderId="1" xfId="0" applyNumberFormat="1" applyFont="1" applyFill="1" applyBorder="1" applyAlignment="1" applyProtection="1">
      <alignment horizontal="distributed" vertical="center"/>
      <protection locked="0"/>
    </xf>
    <xf numFmtId="0" fontId="27" fillId="0" borderId="1" xfId="0" applyFont="1" applyBorder="1" applyAlignment="1" applyProtection="1">
      <alignment vertical="center" wrapText="1"/>
      <protection locked="0"/>
    </xf>
    <xf numFmtId="10" fontId="10" fillId="0" borderId="1" xfId="2" applyNumberFormat="1" applyFont="1" applyBorder="1" applyAlignment="1" applyProtection="1">
      <alignment horizontal="center" vertical="center"/>
      <protection locked="0"/>
    </xf>
    <xf numFmtId="164" fontId="27" fillId="0" borderId="1" xfId="0" applyNumberFormat="1" applyFont="1" applyFill="1" applyBorder="1" applyAlignment="1" applyProtection="1">
      <alignment horizontal="distributed" vertical="center"/>
      <protection locked="0"/>
    </xf>
    <xf numFmtId="10" fontId="10" fillId="2" borderId="1" xfId="2" applyNumberFormat="1" applyFont="1" applyFill="1" applyBorder="1" applyAlignment="1" applyProtection="1">
      <alignment horizontal="center" vertical="center"/>
    </xf>
    <xf numFmtId="10" fontId="35" fillId="0" borderId="1" xfId="2" applyNumberFormat="1" applyFont="1" applyFill="1" applyBorder="1" applyAlignment="1" applyProtection="1">
      <alignment horizontal="center"/>
      <protection locked="0"/>
    </xf>
    <xf numFmtId="0" fontId="30" fillId="0" borderId="1" xfId="0" applyFont="1" applyBorder="1" applyAlignment="1" applyProtection="1">
      <alignment vertical="center" wrapText="1"/>
      <protection locked="0"/>
    </xf>
    <xf numFmtId="10" fontId="35" fillId="0" borderId="1" xfId="2" applyNumberFormat="1" applyFont="1" applyFill="1" applyBorder="1" applyAlignment="1" applyProtection="1">
      <alignment horizontal="center" vertical="center"/>
      <protection locked="0"/>
    </xf>
    <xf numFmtId="164" fontId="36" fillId="0" borderId="1" xfId="0" applyNumberFormat="1" applyFont="1" applyFill="1" applyBorder="1" applyAlignment="1" applyProtection="1">
      <alignment horizontal="distributed" vertical="distributed" justifyLastLine="1"/>
    </xf>
    <xf numFmtId="170" fontId="35" fillId="0" borderId="1" xfId="2" applyNumberFormat="1" applyFont="1" applyBorder="1" applyAlignment="1" applyProtection="1">
      <alignment horizontal="center"/>
      <protection locked="0"/>
    </xf>
    <xf numFmtId="164" fontId="37" fillId="0" borderId="1" xfId="0" applyNumberFormat="1" applyFont="1" applyFill="1" applyBorder="1" applyAlignment="1" applyProtection="1">
      <alignment horizontal="distributed" vertical="center"/>
    </xf>
    <xf numFmtId="0" fontId="27" fillId="0" borderId="1" xfId="0" applyFont="1" applyBorder="1" applyAlignment="1" applyProtection="1">
      <alignment vertical="center"/>
    </xf>
    <xf numFmtId="10" fontId="35" fillId="0" borderId="1" xfId="2" applyNumberFormat="1" applyFont="1" applyBorder="1" applyAlignment="1" applyProtection="1">
      <alignment horizontal="center" vertical="center"/>
      <protection locked="0"/>
    </xf>
    <xf numFmtId="164" fontId="27" fillId="0" borderId="0" xfId="0" applyNumberFormat="1" applyFont="1" applyProtection="1"/>
    <xf numFmtId="171" fontId="35" fillId="5" borderId="1" xfId="2" applyNumberFormat="1" applyFont="1" applyFill="1" applyBorder="1" applyAlignment="1" applyProtection="1">
      <alignment horizontal="center" vertical="center"/>
      <protection locked="0"/>
    </xf>
    <xf numFmtId="0" fontId="28" fillId="0" borderId="0" xfId="0" applyFont="1" applyBorder="1" applyProtection="1"/>
    <xf numFmtId="0" fontId="34" fillId="0" borderId="0" xfId="0" applyFont="1" applyBorder="1" applyAlignment="1" applyProtection="1">
      <alignment horizontal="left"/>
    </xf>
    <xf numFmtId="164" fontId="27" fillId="0" borderId="1" xfId="0" applyNumberFormat="1" applyFont="1" applyFill="1" applyBorder="1" applyAlignment="1" applyProtection="1">
      <alignment horizontal="distributed"/>
    </xf>
    <xf numFmtId="164" fontId="27" fillId="2" borderId="1" xfId="0" applyNumberFormat="1" applyFont="1" applyFill="1" applyBorder="1" applyAlignment="1" applyProtection="1">
      <alignment horizontal="distributed"/>
    </xf>
    <xf numFmtId="0" fontId="33" fillId="0" borderId="1" xfId="0" applyFont="1" applyBorder="1" applyAlignment="1" applyProtection="1">
      <alignment horizontal="center"/>
    </xf>
    <xf numFmtId="10" fontId="33" fillId="0" borderId="1" xfId="2" applyNumberFormat="1" applyFont="1" applyBorder="1" applyProtection="1">
      <protection locked="0"/>
    </xf>
    <xf numFmtId="0" fontId="39" fillId="0" borderId="0" xfId="0" applyFont="1" applyProtection="1"/>
    <xf numFmtId="0" fontId="39" fillId="0" borderId="0" xfId="0" applyFont="1" applyAlignment="1" applyProtection="1">
      <alignment horizontal="right"/>
    </xf>
    <xf numFmtId="17" fontId="41" fillId="0" borderId="0" xfId="0" applyNumberFormat="1" applyFont="1" applyAlignment="1" applyProtection="1">
      <alignment horizontal="right"/>
      <protection locked="0"/>
    </xf>
    <xf numFmtId="14" fontId="41" fillId="0" borderId="0" xfId="0" applyNumberFormat="1" applyFont="1" applyBorder="1" applyAlignment="1" applyProtection="1">
      <alignment horizontal="right"/>
      <protection locked="0"/>
    </xf>
    <xf numFmtId="0" fontId="39" fillId="0" borderId="0" xfId="0" applyFont="1" applyAlignment="1" applyProtection="1">
      <alignment horizontal="center"/>
    </xf>
    <xf numFmtId="168" fontId="41" fillId="0" borderId="0" xfId="0" applyNumberFormat="1" applyFont="1" applyBorder="1" applyProtection="1">
      <protection locked="0"/>
    </xf>
    <xf numFmtId="0" fontId="42" fillId="0" borderId="1" xfId="0" applyFont="1" applyBorder="1" applyAlignment="1" applyProtection="1">
      <protection locked="0"/>
    </xf>
    <xf numFmtId="0" fontId="39" fillId="0" borderId="1" xfId="0" applyFont="1" applyBorder="1" applyAlignment="1" applyProtection="1">
      <alignment horizontal="right"/>
    </xf>
    <xf numFmtId="0" fontId="39" fillId="0" borderId="1" xfId="0" applyFont="1" applyBorder="1" applyAlignment="1" applyProtection="1">
      <alignment horizontal="center"/>
    </xf>
    <xf numFmtId="14" fontId="41" fillId="0" borderId="1" xfId="0" applyNumberFormat="1" applyFont="1" applyBorder="1" applyAlignment="1" applyProtection="1">
      <alignment horizontal="right" vertical="center"/>
      <protection locked="0"/>
    </xf>
    <xf numFmtId="1" fontId="44" fillId="8" borderId="1" xfId="0" applyNumberFormat="1" applyFont="1" applyFill="1" applyBorder="1" applyAlignment="1" applyProtection="1">
      <alignment horizontal="right"/>
      <protection locked="0"/>
    </xf>
    <xf numFmtId="1" fontId="41" fillId="0" borderId="1" xfId="0" applyNumberFormat="1" applyFont="1" applyBorder="1" applyAlignment="1" applyProtection="1">
      <alignment vertical="center"/>
      <protection locked="0"/>
    </xf>
    <xf numFmtId="0" fontId="43" fillId="0" borderId="1" xfId="0" applyFont="1" applyBorder="1" applyAlignment="1" applyProtection="1">
      <alignment horizontal="center"/>
    </xf>
    <xf numFmtId="0" fontId="45" fillId="0" borderId="1" xfId="0" applyFont="1" applyBorder="1" applyAlignment="1" applyProtection="1">
      <alignment horizontal="center"/>
    </xf>
    <xf numFmtId="0" fontId="39" fillId="0" borderId="2" xfId="0" applyFont="1" applyBorder="1" applyProtection="1"/>
    <xf numFmtId="0" fontId="43" fillId="0" borderId="3" xfId="0" applyFont="1" applyBorder="1" applyProtection="1"/>
    <xf numFmtId="0" fontId="43" fillId="0" borderId="0" xfId="0" applyFont="1" applyProtection="1"/>
    <xf numFmtId="0" fontId="41" fillId="8" borderId="1" xfId="0" applyFont="1" applyFill="1" applyBorder="1" applyAlignment="1" applyProtection="1">
      <alignment horizontal="right"/>
      <protection locked="0"/>
    </xf>
    <xf numFmtId="165" fontId="41" fillId="8" borderId="1" xfId="3" applyNumberFormat="1" applyFont="1" applyFill="1" applyBorder="1" applyAlignment="1" applyProtection="1">
      <alignment horizontal="right"/>
      <protection locked="0"/>
    </xf>
    <xf numFmtId="14" fontId="41" fillId="8" borderId="1" xfId="0" applyNumberFormat="1" applyFont="1" applyFill="1" applyBorder="1" applyAlignment="1" applyProtection="1">
      <alignment horizontal="right"/>
      <protection locked="0"/>
    </xf>
    <xf numFmtId="0" fontId="39" fillId="0" borderId="4" xfId="0" applyFont="1" applyBorder="1" applyProtection="1"/>
    <xf numFmtId="0" fontId="39" fillId="2" borderId="1" xfId="0" applyFont="1" applyFill="1" applyBorder="1" applyAlignment="1" applyProtection="1">
      <alignment horizontal="center"/>
    </xf>
    <xf numFmtId="0" fontId="48" fillId="0" borderId="1" xfId="0" applyFont="1" applyBorder="1" applyAlignment="1" applyProtection="1">
      <alignment horizontal="center"/>
    </xf>
    <xf numFmtId="165" fontId="49" fillId="0" borderId="1" xfId="0" applyNumberFormat="1" applyFont="1" applyBorder="1" applyAlignment="1" applyProtection="1">
      <alignment horizontal="distributed" vertical="distributed"/>
    </xf>
    <xf numFmtId="164" fontId="49" fillId="0" borderId="1" xfId="0" applyNumberFormat="1" applyFont="1" applyBorder="1" applyAlignment="1" applyProtection="1">
      <alignment horizontal="distributed" vertical="distributed"/>
    </xf>
    <xf numFmtId="0" fontId="49" fillId="0" borderId="1" xfId="0" applyFont="1" applyBorder="1" applyAlignment="1" applyProtection="1">
      <alignment horizontal="left"/>
    </xf>
    <xf numFmtId="167" fontId="50" fillId="5" borderId="1" xfId="0" applyNumberFormat="1" applyFont="1" applyFill="1" applyBorder="1" applyAlignment="1" applyProtection="1">
      <alignment horizontal="distributed" vertical="justify" justifyLastLine="1"/>
    </xf>
    <xf numFmtId="0" fontId="49" fillId="0" borderId="1" xfId="0" applyFont="1" applyBorder="1" applyAlignment="1" applyProtection="1"/>
    <xf numFmtId="9" fontId="50" fillId="0" borderId="1" xfId="0" applyNumberFormat="1" applyFont="1" applyBorder="1" applyAlignment="1" applyProtection="1">
      <protection locked="0"/>
    </xf>
    <xf numFmtId="164" fontId="39" fillId="2" borderId="1" xfId="0" applyNumberFormat="1" applyFont="1" applyFill="1" applyBorder="1" applyAlignment="1" applyProtection="1">
      <alignment horizontal="distributed" vertical="center"/>
    </xf>
    <xf numFmtId="0" fontId="43" fillId="0" borderId="1" xfId="0" applyFont="1" applyBorder="1" applyAlignment="1" applyProtection="1"/>
    <xf numFmtId="167" fontId="43" fillId="5" borderId="1" xfId="0" applyNumberFormat="1" applyFont="1" applyFill="1" applyBorder="1" applyAlignment="1" applyProtection="1">
      <alignment horizontal="distributed"/>
    </xf>
    <xf numFmtId="0" fontId="41" fillId="0" borderId="1" xfId="0" applyFont="1" applyFill="1" applyBorder="1" applyAlignment="1" applyProtection="1">
      <protection locked="0"/>
    </xf>
    <xf numFmtId="167" fontId="41" fillId="0" borderId="1" xfId="0" applyNumberFormat="1" applyFont="1" applyFill="1" applyBorder="1" applyAlignment="1" applyProtection="1">
      <alignment horizontal="distributed"/>
      <protection locked="0"/>
    </xf>
    <xf numFmtId="167" fontId="41" fillId="0" borderId="1" xfId="0" applyNumberFormat="1" applyFont="1" applyBorder="1" applyAlignment="1" applyProtection="1">
      <alignment horizontal="distributed"/>
      <protection locked="0"/>
    </xf>
    <xf numFmtId="169" fontId="41" fillId="0" borderId="1" xfId="3" applyNumberFormat="1" applyFont="1" applyBorder="1" applyAlignment="1" applyProtection="1">
      <alignment horizontal="distributed"/>
      <protection locked="0"/>
    </xf>
    <xf numFmtId="0" fontId="43" fillId="0" borderId="1" xfId="0" applyFont="1" applyBorder="1" applyAlignment="1" applyProtection="1">
      <alignment horizontal="left"/>
    </xf>
    <xf numFmtId="10" fontId="41" fillId="0" borderId="1" xfId="0" applyNumberFormat="1" applyFont="1" applyBorder="1" applyAlignment="1" applyProtection="1">
      <alignment horizontal="right"/>
      <protection locked="0"/>
    </xf>
    <xf numFmtId="164" fontId="50" fillId="8" borderId="1" xfId="0" applyNumberFormat="1" applyFont="1" applyFill="1" applyBorder="1" applyAlignment="1" applyProtection="1">
      <alignment horizontal="distributed" vertical="center"/>
      <protection locked="0"/>
    </xf>
    <xf numFmtId="164" fontId="50" fillId="0" borderId="1" xfId="0" applyNumberFormat="1" applyFont="1" applyBorder="1" applyAlignment="1" applyProtection="1">
      <alignment horizontal="distributed" vertical="center"/>
      <protection locked="0"/>
    </xf>
    <xf numFmtId="0" fontId="39" fillId="0" borderId="2" xfId="0" applyFont="1" applyFill="1" applyBorder="1" applyAlignment="1" applyProtection="1">
      <alignment horizontal="center"/>
    </xf>
    <xf numFmtId="0" fontId="46" fillId="6" borderId="1" xfId="0" applyFont="1" applyFill="1" applyBorder="1" applyAlignment="1" applyProtection="1">
      <alignment horizontal="center" vertical="center"/>
    </xf>
    <xf numFmtId="2" fontId="41" fillId="8" borderId="1" xfId="0" applyNumberFormat="1" applyFont="1" applyFill="1" applyBorder="1" applyAlignment="1" applyProtection="1">
      <alignment horizontal="center"/>
    </xf>
    <xf numFmtId="172" fontId="41" fillId="8" borderId="1" xfId="1" applyNumberFormat="1" applyFont="1" applyFill="1" applyBorder="1" applyAlignment="1" applyProtection="1">
      <alignment horizontal="center"/>
    </xf>
    <xf numFmtId="0" fontId="39" fillId="0" borderId="1" xfId="0" applyFont="1" applyBorder="1" applyAlignment="1" applyProtection="1">
      <alignment horizontal="center" vertical="center"/>
    </xf>
    <xf numFmtId="0" fontId="43" fillId="0" borderId="1" xfId="0" applyFont="1" applyBorder="1" applyAlignment="1" applyProtection="1">
      <alignment horizontal="center" vertical="center"/>
    </xf>
    <xf numFmtId="0" fontId="46" fillId="6" borderId="1" xfId="0" applyFont="1" applyFill="1" applyBorder="1" applyAlignment="1" applyProtection="1">
      <alignment horizontal="center"/>
    </xf>
    <xf numFmtId="165" fontId="41" fillId="8" borderId="1" xfId="1" applyFont="1" applyFill="1" applyBorder="1" applyAlignment="1" applyProtection="1"/>
    <xf numFmtId="165" fontId="43" fillId="3" borderId="1" xfId="1" applyFont="1" applyFill="1" applyBorder="1" applyAlignment="1" applyProtection="1">
      <alignment horizontal="justify" vertical="center"/>
    </xf>
    <xf numFmtId="165" fontId="41" fillId="8" borderId="1" xfId="1" applyFont="1" applyFill="1" applyBorder="1" applyAlignment="1" applyProtection="1">
      <protection locked="0"/>
    </xf>
    <xf numFmtId="165" fontId="43" fillId="0" borderId="1" xfId="1" applyFont="1" applyBorder="1" applyAlignment="1" applyProtection="1">
      <protection locked="0"/>
    </xf>
    <xf numFmtId="0" fontId="46" fillId="6" borderId="1" xfId="0" applyFont="1" applyFill="1" applyBorder="1" applyAlignment="1" applyProtection="1">
      <alignment horizontal="center"/>
      <protection locked="0"/>
    </xf>
    <xf numFmtId="9" fontId="46" fillId="6" borderId="1" xfId="0" applyNumberFormat="1" applyFont="1" applyFill="1" applyBorder="1" applyAlignment="1" applyProtection="1">
      <alignment horizontal="center"/>
      <protection locked="0"/>
    </xf>
    <xf numFmtId="165" fontId="43" fillId="0" borderId="1" xfId="0" applyNumberFormat="1" applyFont="1" applyBorder="1" applyAlignment="1" applyProtection="1">
      <protection locked="0"/>
    </xf>
    <xf numFmtId="9" fontId="43" fillId="8" borderId="1" xfId="0" applyNumberFormat="1" applyFont="1" applyFill="1" applyBorder="1" applyAlignment="1" applyProtection="1">
      <protection locked="0"/>
    </xf>
    <xf numFmtId="0" fontId="39" fillId="0" borderId="4" xfId="0" applyFont="1" applyFill="1" applyBorder="1" applyAlignment="1" applyProtection="1">
      <alignment horizontal="center"/>
    </xf>
    <xf numFmtId="10" fontId="51" fillId="0" borderId="1" xfId="2" applyNumberFormat="1" applyFont="1" applyBorder="1" applyAlignment="1" applyProtection="1">
      <alignment horizontal="center"/>
    </xf>
    <xf numFmtId="164" fontId="43" fillId="0" borderId="1" xfId="0" applyNumberFormat="1" applyFont="1" applyFill="1" applyBorder="1" applyAlignment="1" applyProtection="1">
      <alignment horizontal="distributed" vertical="center"/>
    </xf>
    <xf numFmtId="10" fontId="51" fillId="7" borderId="1" xfId="2" applyNumberFormat="1" applyFont="1" applyFill="1" applyBorder="1" applyAlignment="1" applyProtection="1">
      <alignment horizontal="center"/>
    </xf>
    <xf numFmtId="164" fontId="43" fillId="7" borderId="1" xfId="0" applyNumberFormat="1" applyFont="1" applyFill="1" applyBorder="1" applyAlignment="1" applyProtection="1">
      <alignment horizontal="distributed" vertical="center"/>
    </xf>
    <xf numFmtId="10" fontId="52" fillId="5" borderId="1" xfId="2" applyNumberFormat="1" applyFont="1" applyFill="1" applyBorder="1" applyAlignment="1" applyProtection="1">
      <alignment horizontal="center" vertical="center"/>
      <protection locked="0"/>
    </xf>
    <xf numFmtId="164" fontId="43" fillId="5" borderId="1" xfId="0" applyNumberFormat="1" applyFont="1" applyFill="1" applyBorder="1" applyAlignment="1" applyProtection="1">
      <alignment horizontal="distributed" vertical="center"/>
    </xf>
    <xf numFmtId="10" fontId="39" fillId="2" borderId="1" xfId="2" applyNumberFormat="1" applyFont="1" applyFill="1" applyBorder="1" applyAlignment="1" applyProtection="1">
      <alignment horizontal="center"/>
    </xf>
    <xf numFmtId="0" fontId="39" fillId="0" borderId="3" xfId="0" applyFont="1" applyBorder="1" applyProtection="1"/>
    <xf numFmtId="10" fontId="51" fillId="2" borderId="1" xfId="2" applyNumberFormat="1" applyFont="1" applyFill="1" applyBorder="1" applyAlignment="1" applyProtection="1">
      <alignment horizontal="center"/>
    </xf>
    <xf numFmtId="164" fontId="43" fillId="2" borderId="1" xfId="0" applyNumberFormat="1" applyFont="1" applyFill="1" applyBorder="1" applyAlignment="1" applyProtection="1">
      <alignment horizontal="distributed" vertical="center"/>
    </xf>
    <xf numFmtId="10" fontId="51" fillId="0" borderId="1" xfId="2" applyNumberFormat="1" applyFont="1" applyFill="1" applyBorder="1" applyAlignment="1" applyProtection="1">
      <alignment horizontal="center"/>
    </xf>
    <xf numFmtId="164" fontId="53" fillId="0" borderId="6" xfId="0" applyNumberFormat="1" applyFont="1" applyBorder="1" applyAlignment="1" applyProtection="1">
      <alignment horizontal="distributed"/>
    </xf>
    <xf numFmtId="10" fontId="51" fillId="0" borderId="1" xfId="2" applyNumberFormat="1" applyFont="1" applyFill="1" applyBorder="1" applyAlignment="1" applyProtection="1">
      <alignment horizontal="center" vertical="center"/>
    </xf>
    <xf numFmtId="164" fontId="52" fillId="0" borderId="1" xfId="0" applyNumberFormat="1" applyFont="1" applyFill="1" applyBorder="1" applyAlignment="1" applyProtection="1">
      <alignment horizontal="distributed" vertical="center"/>
    </xf>
    <xf numFmtId="164" fontId="45" fillId="0" borderId="1" xfId="0" applyNumberFormat="1" applyFont="1" applyFill="1" applyBorder="1" applyAlignment="1" applyProtection="1">
      <alignment horizontal="distributed" vertical="center"/>
    </xf>
    <xf numFmtId="164" fontId="41" fillId="0" borderId="1" xfId="0" applyNumberFormat="1" applyFont="1" applyFill="1" applyBorder="1" applyAlignment="1" applyProtection="1">
      <alignment horizontal="distributed" vertical="center"/>
    </xf>
    <xf numFmtId="0" fontId="39" fillId="0" borderId="5" xfId="0" applyFont="1" applyBorder="1" applyAlignment="1" applyProtection="1">
      <alignment horizontal="center" vertical="center"/>
    </xf>
    <xf numFmtId="10" fontId="39" fillId="2" borderId="1" xfId="0" applyNumberFormat="1" applyFont="1" applyFill="1" applyBorder="1" applyAlignment="1" applyProtection="1">
      <alignment horizontal="center"/>
    </xf>
    <xf numFmtId="0" fontId="39" fillId="2" borderId="1" xfId="0" applyFont="1" applyFill="1" applyBorder="1" applyAlignment="1" applyProtection="1">
      <alignment horizontal="center" vertical="center"/>
    </xf>
    <xf numFmtId="10" fontId="51" fillId="0" borderId="1" xfId="2" applyNumberFormat="1" applyFont="1" applyBorder="1" applyAlignment="1" applyProtection="1">
      <alignment horizontal="center" vertical="center"/>
    </xf>
    <xf numFmtId="164" fontId="53" fillId="0" borderId="6" xfId="0" applyNumberFormat="1" applyFont="1" applyFill="1" applyBorder="1" applyAlignment="1" applyProtection="1">
      <alignment horizontal="distributed" vertical="center"/>
    </xf>
    <xf numFmtId="0" fontId="41" fillId="0" borderId="1" xfId="0" applyFont="1" applyBorder="1" applyAlignment="1" applyProtection="1">
      <alignment horizontal="center"/>
      <protection locked="0"/>
    </xf>
    <xf numFmtId="10" fontId="52" fillId="0" borderId="1" xfId="2" applyNumberFormat="1" applyFont="1" applyBorder="1" applyAlignment="1" applyProtection="1">
      <alignment horizontal="center"/>
      <protection locked="0"/>
    </xf>
    <xf numFmtId="164" fontId="41" fillId="0" borderId="1" xfId="0" applyNumberFormat="1" applyFont="1" applyFill="1" applyBorder="1" applyAlignment="1" applyProtection="1">
      <alignment horizontal="distributed" vertical="center"/>
      <protection locked="0"/>
    </xf>
    <xf numFmtId="0" fontId="43" fillId="0" borderId="1" xfId="0" applyFont="1" applyBorder="1" applyAlignment="1" applyProtection="1">
      <alignment vertical="center" wrapText="1"/>
      <protection locked="0"/>
    </xf>
    <xf numFmtId="10" fontId="51" fillId="0" borderId="1" xfId="2" applyNumberFormat="1" applyFont="1" applyBorder="1" applyAlignment="1" applyProtection="1">
      <alignment horizontal="center" vertical="center"/>
      <protection locked="0"/>
    </xf>
    <xf numFmtId="164" fontId="43" fillId="0" borderId="1" xfId="0" applyNumberFormat="1" applyFont="1" applyFill="1" applyBorder="1" applyAlignment="1" applyProtection="1">
      <alignment horizontal="distributed" vertical="center"/>
      <protection locked="0"/>
    </xf>
    <xf numFmtId="10" fontId="51" fillId="2" borderId="1" xfId="2" applyNumberFormat="1" applyFont="1" applyFill="1" applyBorder="1" applyAlignment="1" applyProtection="1">
      <alignment horizontal="center" vertical="center"/>
    </xf>
    <xf numFmtId="10" fontId="52" fillId="0" borderId="1" xfId="2" applyNumberFormat="1" applyFont="1" applyFill="1" applyBorder="1" applyAlignment="1" applyProtection="1">
      <alignment horizontal="center"/>
      <protection locked="0"/>
    </xf>
    <xf numFmtId="0" fontId="41" fillId="0" borderId="1" xfId="0" applyFont="1" applyBorder="1" applyAlignment="1" applyProtection="1">
      <alignment vertical="center" wrapText="1"/>
      <protection locked="0"/>
    </xf>
    <xf numFmtId="10" fontId="52" fillId="0" borderId="1" xfId="2" applyNumberFormat="1" applyFont="1" applyFill="1" applyBorder="1" applyAlignment="1" applyProtection="1">
      <alignment horizontal="center" vertical="center"/>
      <protection locked="0"/>
    </xf>
    <xf numFmtId="164" fontId="53" fillId="0" borderId="1" xfId="0" applyNumberFormat="1" applyFont="1" applyFill="1" applyBorder="1" applyAlignment="1" applyProtection="1">
      <alignment horizontal="distributed" vertical="distributed" justifyLastLine="1"/>
    </xf>
    <xf numFmtId="170" fontId="52" fillId="0" borderId="1" xfId="2" applyNumberFormat="1" applyFont="1" applyBorder="1" applyAlignment="1" applyProtection="1">
      <alignment horizontal="center"/>
      <protection locked="0"/>
    </xf>
    <xf numFmtId="164" fontId="54" fillId="0" borderId="1" xfId="0" applyNumberFormat="1" applyFont="1" applyFill="1" applyBorder="1" applyAlignment="1" applyProtection="1">
      <alignment horizontal="distributed" vertical="center"/>
    </xf>
    <xf numFmtId="0" fontId="43" fillId="0" borderId="1" xfId="0" applyFont="1" applyBorder="1" applyAlignment="1" applyProtection="1">
      <alignment vertical="center"/>
    </xf>
    <xf numFmtId="10" fontId="52" fillId="0" borderId="1" xfId="2" applyNumberFormat="1" applyFont="1" applyBorder="1" applyAlignment="1" applyProtection="1">
      <alignment horizontal="center" vertical="center"/>
      <protection locked="0"/>
    </xf>
    <xf numFmtId="171" fontId="52" fillId="5" borderId="1" xfId="2" applyNumberFormat="1" applyFont="1" applyFill="1" applyBorder="1" applyAlignment="1" applyProtection="1">
      <alignment horizontal="center" vertical="center"/>
      <protection locked="0"/>
    </xf>
    <xf numFmtId="0" fontId="39" fillId="0" borderId="0" xfId="0" applyFont="1" applyBorder="1" applyProtection="1"/>
    <xf numFmtId="0" fontId="47" fillId="0" borderId="0" xfId="0" applyFont="1" applyBorder="1" applyAlignment="1" applyProtection="1">
      <alignment horizontal="left"/>
    </xf>
    <xf numFmtId="164" fontId="43" fillId="0" borderId="1" xfId="0" applyNumberFormat="1" applyFont="1" applyFill="1" applyBorder="1" applyAlignment="1" applyProtection="1">
      <alignment horizontal="distributed"/>
    </xf>
    <xf numFmtId="164" fontId="43" fillId="2" borderId="1" xfId="0" applyNumberFormat="1" applyFont="1" applyFill="1" applyBorder="1" applyAlignment="1" applyProtection="1">
      <alignment horizontal="distributed"/>
    </xf>
    <xf numFmtId="0" fontId="46" fillId="0" borderId="1" xfId="0" applyFont="1" applyBorder="1" applyAlignment="1" applyProtection="1">
      <alignment horizontal="center"/>
    </xf>
    <xf numFmtId="10" fontId="46" fillId="0" borderId="1" xfId="2" applyNumberFormat="1" applyFont="1" applyBorder="1" applyProtection="1">
      <protection locked="0"/>
    </xf>
    <xf numFmtId="0" fontId="24" fillId="0" borderId="0" xfId="0" applyFont="1" applyAlignment="1">
      <alignment horizontal="center"/>
    </xf>
    <xf numFmtId="0" fontId="3" fillId="2" borderId="4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0" fillId="9" borderId="1" xfId="0" applyFill="1" applyBorder="1" applyAlignment="1" applyProtection="1">
      <alignment horizontal="center"/>
    </xf>
    <xf numFmtId="0" fontId="17" fillId="5" borderId="1" xfId="0" applyFont="1" applyFill="1" applyBorder="1" applyAlignment="1" applyProtection="1">
      <alignment horizontal="center"/>
    </xf>
    <xf numFmtId="165" fontId="16" fillId="0" borderId="1" xfId="1" applyFont="1" applyBorder="1" applyAlignment="1" applyProtection="1">
      <alignment horizontal="center" vertical="center"/>
    </xf>
    <xf numFmtId="0" fontId="13" fillId="5" borderId="1" xfId="0" applyFont="1" applyFill="1" applyBorder="1" applyAlignment="1" applyProtection="1">
      <alignment horizontal="center"/>
    </xf>
    <xf numFmtId="0" fontId="17" fillId="5" borderId="8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9" fillId="2" borderId="4" xfId="0" applyFont="1" applyFill="1" applyBorder="1" applyAlignment="1" applyProtection="1">
      <alignment horizontal="center"/>
    </xf>
    <xf numFmtId="0" fontId="9" fillId="2" borderId="7" xfId="0" applyFont="1" applyFill="1" applyBorder="1" applyAlignment="1" applyProtection="1">
      <alignment horizontal="center"/>
    </xf>
    <xf numFmtId="0" fontId="9" fillId="2" borderId="9" xfId="0" applyFont="1" applyFill="1" applyBorder="1" applyAlignment="1" applyProtection="1">
      <alignment horizontal="center"/>
    </xf>
    <xf numFmtId="17" fontId="16" fillId="0" borderId="0" xfId="0" applyNumberFormat="1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</xf>
    <xf numFmtId="0" fontId="3" fillId="0" borderId="1" xfId="0" applyFont="1" applyBorder="1" applyAlignment="1" applyProtection="1">
      <alignment horizontal="left"/>
    </xf>
    <xf numFmtId="0" fontId="18" fillId="0" borderId="1" xfId="0" applyFont="1" applyBorder="1" applyAlignment="1" applyProtection="1">
      <alignment horizontal="center"/>
      <protection locked="0"/>
    </xf>
    <xf numFmtId="0" fontId="18" fillId="0" borderId="4" xfId="0" applyFont="1" applyBorder="1" applyAlignment="1" applyProtection="1">
      <alignment horizontal="center"/>
      <protection locked="0"/>
    </xf>
    <xf numFmtId="0" fontId="18" fillId="0" borderId="7" xfId="0" applyFont="1" applyBorder="1" applyAlignment="1" applyProtection="1">
      <alignment horizontal="center"/>
      <protection locked="0"/>
    </xf>
    <xf numFmtId="0" fontId="18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0" fillId="0" borderId="4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16" fillId="0" borderId="4" xfId="0" applyFont="1" applyBorder="1" applyAlignment="1" applyProtection="1">
      <alignment horizontal="right" vertical="center"/>
      <protection locked="0"/>
    </xf>
    <xf numFmtId="0" fontId="16" fillId="0" borderId="9" xfId="0" applyFon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/>
    </xf>
    <xf numFmtId="1" fontId="16" fillId="0" borderId="4" xfId="3" applyNumberFormat="1" applyFont="1" applyBorder="1" applyAlignment="1" applyProtection="1">
      <alignment horizontal="center" vertical="center"/>
      <protection locked="0"/>
    </xf>
    <xf numFmtId="1" fontId="16" fillId="0" borderId="9" xfId="3" applyNumberFormat="1" applyFont="1" applyBorder="1" applyAlignment="1" applyProtection="1">
      <alignment horizontal="center" vertical="center"/>
      <protection locked="0"/>
    </xf>
    <xf numFmtId="0" fontId="17" fillId="0" borderId="4" xfId="0" applyFont="1" applyBorder="1" applyAlignment="1" applyProtection="1">
      <alignment horizontal="center" vertical="center" wrapText="1"/>
    </xf>
    <xf numFmtId="0" fontId="17" fillId="0" borderId="7" xfId="0" applyFont="1" applyBorder="1" applyAlignment="1" applyProtection="1">
      <alignment horizontal="center" vertical="center" wrapText="1"/>
    </xf>
    <xf numFmtId="0" fontId="17" fillId="0" borderId="9" xfId="0" applyFont="1" applyBorder="1" applyAlignment="1" applyProtection="1">
      <alignment horizontal="center" vertical="center" wrapText="1"/>
    </xf>
    <xf numFmtId="1" fontId="25" fillId="0" borderId="4" xfId="3" applyNumberFormat="1" applyFont="1" applyBorder="1" applyAlignment="1" applyProtection="1">
      <alignment horizontal="center" vertical="center"/>
    </xf>
    <xf numFmtId="1" fontId="25" fillId="0" borderId="9" xfId="3" applyNumberFormat="1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6" fillId="0" borderId="12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3" fillId="4" borderId="1" xfId="0" applyFont="1" applyFill="1" applyBorder="1" applyAlignment="1" applyProtection="1">
      <alignment horizontal="center"/>
    </xf>
    <xf numFmtId="0" fontId="6" fillId="0" borderId="7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/>
    </xf>
    <xf numFmtId="0" fontId="12" fillId="0" borderId="1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164" fontId="12" fillId="0" borderId="5" xfId="0" applyNumberFormat="1" applyFont="1" applyBorder="1" applyAlignment="1" applyProtection="1">
      <alignment horizontal="distributed" vertical="distributed" justifyLastLine="1"/>
    </xf>
    <xf numFmtId="164" fontId="12" fillId="0" borderId="8" xfId="0" applyNumberFormat="1" applyFont="1" applyBorder="1" applyAlignment="1" applyProtection="1">
      <alignment horizontal="distributed" vertical="distributed" justifyLastLine="1"/>
    </xf>
    <xf numFmtId="0" fontId="3" fillId="0" borderId="5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64" fontId="0" fillId="0" borderId="6" xfId="0" applyNumberFormat="1" applyFill="1" applyBorder="1" applyAlignment="1" applyProtection="1">
      <alignment horizontal="distributed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4" fontId="0" fillId="0" borderId="5" xfId="0" applyNumberFormat="1" applyFill="1" applyBorder="1" applyAlignment="1" applyProtection="1">
      <alignment horizontal="distributed" vertical="center"/>
    </xf>
    <xf numFmtId="164" fontId="0" fillId="0" borderId="14" xfId="0" applyNumberFormat="1" applyFill="1" applyBorder="1" applyAlignment="1" applyProtection="1">
      <alignment horizontal="distributed" vertical="center"/>
    </xf>
    <xf numFmtId="164" fontId="0" fillId="0" borderId="8" xfId="0" applyNumberFormat="1" applyFill="1" applyBorder="1" applyAlignment="1" applyProtection="1">
      <alignment horizontal="distributed" vertical="center"/>
    </xf>
    <xf numFmtId="0" fontId="12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65" fontId="15" fillId="3" borderId="5" xfId="1" applyFont="1" applyFill="1" applyBorder="1" applyAlignment="1" applyProtection="1">
      <alignment horizontal="center" vertical="center"/>
    </xf>
    <xf numFmtId="165" fontId="15" fillId="3" borderId="8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23" fillId="6" borderId="5" xfId="1" applyFont="1" applyFill="1" applyBorder="1" applyAlignment="1" applyProtection="1">
      <alignment horizontal="center" vertical="center"/>
      <protection locked="0"/>
    </xf>
    <xf numFmtId="165" fontId="23" fillId="6" borderId="8" xfId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left"/>
    </xf>
    <xf numFmtId="0" fontId="0" fillId="0" borderId="1" xfId="0" applyBorder="1" applyAlignment="1" applyProtection="1">
      <alignment horizontal="left" vertical="center"/>
    </xf>
    <xf numFmtId="0" fontId="0" fillId="5" borderId="1" xfId="0" applyFill="1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3" fillId="2" borderId="9" xfId="0" applyFont="1" applyFill="1" applyBorder="1" applyAlignment="1" applyProtection="1">
      <alignment horizontal="center"/>
    </xf>
    <xf numFmtId="0" fontId="0" fillId="0" borderId="2" xfId="0" applyBorder="1" applyAlignment="1" applyProtection="1">
      <alignment horizontal="justify" vertical="center" wrapText="1"/>
    </xf>
    <xf numFmtId="0" fontId="0" fillId="0" borderId="11" xfId="0" applyBorder="1" applyAlignment="1" applyProtection="1">
      <alignment horizontal="justify" vertical="center" wrapText="1"/>
    </xf>
    <xf numFmtId="0" fontId="0" fillId="0" borderId="3" xfId="0" applyBorder="1" applyAlignment="1" applyProtection="1">
      <alignment horizontal="justify" vertical="center" wrapText="1"/>
    </xf>
    <xf numFmtId="0" fontId="0" fillId="0" borderId="13" xfId="0" applyBorder="1" applyAlignment="1" applyProtection="1">
      <alignment horizontal="justify" vertical="center" wrapText="1"/>
    </xf>
    <xf numFmtId="10" fontId="2" fillId="0" borderId="5" xfId="2" applyNumberFormat="1" applyFont="1" applyFill="1" applyBorder="1" applyAlignment="1" applyProtection="1">
      <alignment horizontal="center" vertical="center"/>
    </xf>
    <xf numFmtId="10" fontId="2" fillId="0" borderId="8" xfId="2" applyNumberFormat="1" applyFont="1" applyFill="1" applyBorder="1" applyAlignment="1" applyProtection="1">
      <alignment horizontal="center" vertical="center"/>
    </xf>
    <xf numFmtId="164" fontId="16" fillId="0" borderId="5" xfId="0" applyNumberFormat="1" applyFont="1" applyFill="1" applyBorder="1" applyAlignment="1" applyProtection="1">
      <alignment horizontal="distributed" vertical="center"/>
    </xf>
    <xf numFmtId="164" fontId="16" fillId="0" borderId="8" xfId="0" applyNumberFormat="1" applyFont="1" applyFill="1" applyBorder="1" applyAlignment="1" applyProtection="1">
      <alignment horizontal="distributed" vertical="center"/>
    </xf>
    <xf numFmtId="0" fontId="0" fillId="0" borderId="4" xfId="0" applyBorder="1" applyAlignment="1" applyProtection="1">
      <alignment horizontal="justify" vertical="center" wrapText="1"/>
    </xf>
    <xf numFmtId="0" fontId="0" fillId="0" borderId="9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3" fillId="2" borderId="4" xfId="0" applyFont="1" applyFill="1" applyBorder="1" applyAlignment="1" applyProtection="1">
      <alignment horizontal="justify" wrapText="1"/>
    </xf>
    <xf numFmtId="0" fontId="3" fillId="2" borderId="9" xfId="0" applyFont="1" applyFill="1" applyBorder="1" applyAlignment="1" applyProtection="1">
      <alignment horizontal="justify" wrapText="1"/>
    </xf>
    <xf numFmtId="0" fontId="0" fillId="0" borderId="4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left"/>
    </xf>
    <xf numFmtId="0" fontId="0" fillId="0" borderId="1" xfId="0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22" fillId="0" borderId="4" xfId="0" applyFont="1" applyFill="1" applyBorder="1" applyAlignment="1" applyProtection="1">
      <alignment horizontal="left"/>
    </xf>
    <xf numFmtId="0" fontId="22" fillId="0" borderId="7" xfId="0" applyFont="1" applyFill="1" applyBorder="1" applyAlignment="1" applyProtection="1">
      <alignment horizontal="left"/>
    </xf>
    <xf numFmtId="0" fontId="22" fillId="0" borderId="9" xfId="0" applyFont="1" applyFill="1" applyBorder="1" applyAlignment="1" applyProtection="1">
      <alignment horizontal="left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5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0" fillId="0" borderId="8" xfId="0" applyBorder="1" applyAlignment="1" applyProtection="1">
      <alignment vertical="top"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25" fillId="0" borderId="2" xfId="0" applyFont="1" applyBorder="1" applyAlignment="1" applyProtection="1">
      <alignment vertical="top" wrapText="1"/>
    </xf>
    <xf numFmtId="0" fontId="25" fillId="0" borderId="10" xfId="0" applyFont="1" applyBorder="1" applyAlignment="1" applyProtection="1">
      <alignment vertical="top" wrapText="1"/>
    </xf>
    <xf numFmtId="0" fontId="25" fillId="0" borderId="15" xfId="0" applyFont="1" applyBorder="1" applyAlignment="1" applyProtection="1">
      <alignment vertical="top" wrapText="1"/>
    </xf>
    <xf numFmtId="0" fontId="25" fillId="0" borderId="0" xfId="0" applyFont="1" applyBorder="1" applyAlignment="1" applyProtection="1">
      <alignment vertical="top" wrapText="1"/>
    </xf>
    <xf numFmtId="0" fontId="5" fillId="0" borderId="0" xfId="0" applyFont="1" applyAlignment="1" applyProtection="1">
      <alignment horizontal="center"/>
    </xf>
    <xf numFmtId="0" fontId="27" fillId="0" borderId="1" xfId="0" applyFont="1" applyBorder="1" applyAlignment="1" applyProtection="1">
      <alignment horizontal="left"/>
    </xf>
    <xf numFmtId="0" fontId="34" fillId="0" borderId="12" xfId="0" applyFont="1" applyBorder="1" applyAlignment="1" applyProtection="1">
      <alignment horizontal="left"/>
    </xf>
    <xf numFmtId="0" fontId="34" fillId="0" borderId="13" xfId="0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28" fillId="3" borderId="1" xfId="0" applyFont="1" applyFill="1" applyBorder="1" applyAlignment="1" applyProtection="1">
      <alignment horizontal="center"/>
    </xf>
    <xf numFmtId="0" fontId="27" fillId="0" borderId="1" xfId="0" applyFont="1" applyBorder="1" applyAlignment="1" applyProtection="1">
      <alignment horizontal="center"/>
    </xf>
    <xf numFmtId="1" fontId="30" fillId="0" borderId="4" xfId="3" applyNumberFormat="1" applyFont="1" applyBorder="1" applyAlignment="1" applyProtection="1">
      <alignment horizontal="center" vertical="center"/>
      <protection locked="0"/>
    </xf>
    <xf numFmtId="1" fontId="30" fillId="0" borderId="9" xfId="3" applyNumberFormat="1" applyFont="1" applyBorder="1" applyAlignment="1" applyProtection="1">
      <alignment horizontal="center" vertical="center"/>
      <protection locked="0"/>
    </xf>
    <xf numFmtId="0" fontId="33" fillId="0" borderId="4" xfId="0" applyFont="1" applyBorder="1" applyAlignment="1" applyProtection="1">
      <alignment horizontal="center" vertical="center" wrapText="1"/>
    </xf>
    <xf numFmtId="0" fontId="33" fillId="0" borderId="7" xfId="0" applyFont="1" applyBorder="1" applyAlignment="1" applyProtection="1">
      <alignment horizontal="center" vertical="center" wrapText="1"/>
    </xf>
    <xf numFmtId="0" fontId="33" fillId="0" borderId="9" xfId="0" applyFont="1" applyBorder="1" applyAlignment="1" applyProtection="1">
      <alignment horizontal="center" vertical="center" wrapText="1"/>
    </xf>
    <xf numFmtId="1" fontId="21" fillId="0" borderId="4" xfId="3" applyNumberFormat="1" applyFont="1" applyBorder="1" applyAlignment="1" applyProtection="1">
      <alignment horizontal="center" vertical="center"/>
    </xf>
    <xf numFmtId="1" fontId="21" fillId="0" borderId="9" xfId="3" applyNumberFormat="1" applyFont="1" applyBorder="1" applyAlignment="1" applyProtection="1">
      <alignment horizontal="center" vertical="center"/>
    </xf>
    <xf numFmtId="0" fontId="34" fillId="0" borderId="10" xfId="0" applyFont="1" applyBorder="1" applyAlignment="1" applyProtection="1">
      <alignment horizontal="left"/>
    </xf>
    <xf numFmtId="0" fontId="34" fillId="0" borderId="11" xfId="0" applyFont="1" applyBorder="1" applyAlignment="1" applyProtection="1">
      <alignment horizontal="left"/>
    </xf>
    <xf numFmtId="0" fontId="34" fillId="0" borderId="12" xfId="0" applyFont="1" applyBorder="1" applyAlignment="1" applyProtection="1"/>
    <xf numFmtId="0" fontId="34" fillId="0" borderId="13" xfId="0" applyFont="1" applyBorder="1" applyAlignment="1" applyProtection="1"/>
    <xf numFmtId="0" fontId="28" fillId="4" borderId="1" xfId="0" applyFont="1" applyFill="1" applyBorder="1" applyAlignment="1" applyProtection="1">
      <alignment horizontal="center"/>
    </xf>
    <xf numFmtId="0" fontId="28" fillId="2" borderId="1" xfId="0" applyFont="1" applyFill="1" applyBorder="1" applyAlignment="1" applyProtection="1">
      <alignment horizontal="center"/>
    </xf>
    <xf numFmtId="0" fontId="27" fillId="0" borderId="1" xfId="0" applyFont="1" applyBorder="1" applyAlignment="1" applyProtection="1">
      <alignment horizontal="left" vertical="center"/>
    </xf>
    <xf numFmtId="0" fontId="34" fillId="0" borderId="7" xfId="0" applyFont="1" applyBorder="1" applyAlignment="1" applyProtection="1">
      <alignment horizontal="left"/>
    </xf>
    <xf numFmtId="0" fontId="34" fillId="0" borderId="9" xfId="0" applyFont="1" applyBorder="1" applyAlignment="1" applyProtection="1">
      <alignment horizontal="left"/>
    </xf>
    <xf numFmtId="0" fontId="27" fillId="0" borderId="5" xfId="0" applyFont="1" applyBorder="1" applyAlignment="1" applyProtection="1">
      <alignment horizontal="center" vertical="center"/>
    </xf>
    <xf numFmtId="0" fontId="27" fillId="0" borderId="8" xfId="0" applyFont="1" applyBorder="1" applyAlignment="1" applyProtection="1">
      <alignment horizontal="center" vertical="center"/>
    </xf>
    <xf numFmtId="165" fontId="27" fillId="3" borderId="5" xfId="1" applyFont="1" applyFill="1" applyBorder="1" applyAlignment="1" applyProtection="1">
      <alignment horizontal="center" vertical="center"/>
    </xf>
    <xf numFmtId="165" fontId="27" fillId="3" borderId="8" xfId="1" applyFont="1" applyFill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15" xfId="0" applyFont="1" applyBorder="1" applyAlignment="1" applyProtection="1">
      <alignment horizontal="center" vertical="center"/>
    </xf>
    <xf numFmtId="0" fontId="27" fillId="0" borderId="3" xfId="0" applyFont="1" applyBorder="1" applyAlignment="1" applyProtection="1">
      <alignment horizontal="center" vertical="center"/>
    </xf>
    <xf numFmtId="164" fontId="27" fillId="0" borderId="6" xfId="0" applyNumberFormat="1" applyFont="1" applyFill="1" applyBorder="1" applyAlignment="1" applyProtection="1">
      <alignment horizontal="distributed" vertical="center"/>
    </xf>
    <xf numFmtId="0" fontId="28" fillId="2" borderId="4" xfId="0" applyFont="1" applyFill="1" applyBorder="1" applyAlignment="1" applyProtection="1">
      <alignment horizontal="center"/>
    </xf>
    <xf numFmtId="0" fontId="28" fillId="2" borderId="7" xfId="0" applyFont="1" applyFill="1" applyBorder="1" applyAlignment="1" applyProtection="1">
      <alignment horizontal="center"/>
    </xf>
    <xf numFmtId="0" fontId="28" fillId="2" borderId="9" xfId="0" applyFont="1" applyFill="1" applyBorder="1" applyAlignment="1" applyProtection="1">
      <alignment horizontal="center"/>
    </xf>
    <xf numFmtId="0" fontId="27" fillId="5" borderId="1" xfId="0" applyFont="1" applyFill="1" applyBorder="1" applyAlignment="1" applyProtection="1">
      <alignment horizontal="left" vertical="center"/>
    </xf>
    <xf numFmtId="0" fontId="27" fillId="7" borderId="1" xfId="0" applyFont="1" applyFill="1" applyBorder="1" applyAlignment="1" applyProtection="1">
      <alignment horizontal="left"/>
    </xf>
    <xf numFmtId="0" fontId="28" fillId="0" borderId="5" xfId="0" applyFont="1" applyBorder="1" applyAlignment="1" applyProtection="1">
      <alignment horizontal="center" vertical="center"/>
    </xf>
    <xf numFmtId="0" fontId="28" fillId="0" borderId="8" xfId="0" applyFont="1" applyBorder="1" applyAlignment="1" applyProtection="1">
      <alignment horizontal="center" vertical="center"/>
    </xf>
    <xf numFmtId="0" fontId="28" fillId="0" borderId="14" xfId="0" applyFont="1" applyBorder="1" applyAlignment="1" applyProtection="1">
      <alignment horizontal="center" vertical="center"/>
    </xf>
    <xf numFmtId="0" fontId="27" fillId="0" borderId="4" xfId="0" applyFont="1" applyBorder="1" applyAlignment="1" applyProtection="1">
      <alignment horizontal="left"/>
    </xf>
    <xf numFmtId="0" fontId="27" fillId="0" borderId="9" xfId="0" applyFont="1" applyBorder="1" applyAlignment="1" applyProtection="1">
      <alignment horizontal="left"/>
    </xf>
    <xf numFmtId="0" fontId="27" fillId="0" borderId="4" xfId="0" applyFont="1" applyBorder="1" applyAlignment="1" applyProtection="1">
      <alignment horizontal="justify" wrapText="1"/>
    </xf>
    <xf numFmtId="0" fontId="27" fillId="0" borderId="9" xfId="0" applyFont="1" applyBorder="1" applyAlignment="1" applyProtection="1">
      <alignment horizontal="justify" wrapText="1"/>
    </xf>
    <xf numFmtId="0" fontId="27" fillId="0" borderId="4" xfId="0" applyFont="1" applyBorder="1" applyAlignment="1" applyProtection="1">
      <alignment horizontal="justify" vertical="center" wrapText="1"/>
    </xf>
    <xf numFmtId="0" fontId="27" fillId="0" borderId="9" xfId="0" applyFont="1" applyBorder="1" applyAlignment="1" applyProtection="1">
      <alignment horizontal="justify" vertical="center" wrapText="1"/>
    </xf>
    <xf numFmtId="0" fontId="28" fillId="4" borderId="4" xfId="0" applyFont="1" applyFill="1" applyBorder="1" applyAlignment="1" applyProtection="1">
      <alignment horizontal="center"/>
    </xf>
    <xf numFmtId="0" fontId="28" fillId="4" borderId="9" xfId="0" applyFont="1" applyFill="1" applyBorder="1" applyAlignment="1" applyProtection="1">
      <alignment horizontal="center"/>
    </xf>
    <xf numFmtId="0" fontId="28" fillId="4" borderId="7" xfId="0" applyFont="1" applyFill="1" applyBorder="1" applyAlignment="1" applyProtection="1">
      <alignment horizontal="center"/>
    </xf>
    <xf numFmtId="0" fontId="27" fillId="0" borderId="4" xfId="0" applyFont="1" applyBorder="1" applyAlignment="1" applyProtection="1">
      <alignment horizontal="left" vertical="center"/>
    </xf>
    <xf numFmtId="0" fontId="27" fillId="0" borderId="9" xfId="0" applyFont="1" applyBorder="1" applyAlignment="1" applyProtection="1">
      <alignment horizontal="left" vertical="center"/>
    </xf>
    <xf numFmtId="0" fontId="28" fillId="2" borderId="4" xfId="0" applyFont="1" applyFill="1" applyBorder="1" applyAlignment="1" applyProtection="1">
      <alignment horizontal="justify" wrapText="1"/>
    </xf>
    <xf numFmtId="0" fontId="28" fillId="2" borderId="9" xfId="0" applyFont="1" applyFill="1" applyBorder="1" applyAlignment="1" applyProtection="1">
      <alignment horizontal="justify" wrapText="1"/>
    </xf>
    <xf numFmtId="0" fontId="27" fillId="2" borderId="4" xfId="0" applyFont="1" applyFill="1" applyBorder="1" applyAlignment="1" applyProtection="1">
      <alignment horizontal="center" vertical="center" wrapText="1"/>
    </xf>
    <xf numFmtId="0" fontId="27" fillId="2" borderId="9" xfId="0" applyFont="1" applyFill="1" applyBorder="1" applyAlignment="1" applyProtection="1">
      <alignment horizontal="center" vertical="center" wrapText="1"/>
    </xf>
    <xf numFmtId="0" fontId="27" fillId="0" borderId="1" xfId="0" applyFont="1" applyBorder="1" applyAlignment="1" applyProtection="1">
      <alignment horizontal="left" vertical="center" wrapText="1"/>
    </xf>
    <xf numFmtId="0" fontId="26" fillId="0" borderId="0" xfId="0" applyFont="1" applyAlignment="1">
      <alignment horizontal="center"/>
    </xf>
    <xf numFmtId="17" fontId="30" fillId="0" borderId="0" xfId="0" applyNumberFormat="1" applyFont="1" applyAlignment="1" applyProtection="1">
      <alignment horizontal="center"/>
      <protection locked="0"/>
    </xf>
    <xf numFmtId="0" fontId="30" fillId="0" borderId="0" xfId="0" applyFont="1" applyAlignment="1" applyProtection="1">
      <alignment horizontal="center"/>
      <protection locked="0"/>
    </xf>
    <xf numFmtId="0" fontId="28" fillId="0" borderId="1" xfId="0" applyFont="1" applyBorder="1" applyAlignment="1" applyProtection="1">
      <alignment horizontal="left"/>
    </xf>
    <xf numFmtId="0" fontId="31" fillId="0" borderId="1" xfId="0" applyFont="1" applyBorder="1" applyAlignment="1" applyProtection="1">
      <alignment horizontal="center"/>
      <protection locked="0"/>
    </xf>
    <xf numFmtId="0" fontId="27" fillId="0" borderId="7" xfId="0" applyFont="1" applyBorder="1" applyAlignment="1" applyProtection="1">
      <alignment horizontal="left"/>
    </xf>
    <xf numFmtId="0" fontId="30" fillId="0" borderId="4" xfId="0" applyFont="1" applyBorder="1" applyAlignment="1" applyProtection="1">
      <alignment horizontal="right" vertical="center"/>
      <protection locked="0"/>
    </xf>
    <xf numFmtId="0" fontId="30" fillId="0" borderId="9" xfId="0" applyFont="1" applyBorder="1" applyAlignment="1" applyProtection="1">
      <alignment horizontal="right" vertical="center"/>
      <protection locked="0"/>
    </xf>
    <xf numFmtId="0" fontId="31" fillId="0" borderId="4" xfId="0" applyFont="1" applyBorder="1" applyAlignment="1" applyProtection="1">
      <alignment horizontal="center"/>
      <protection locked="0"/>
    </xf>
    <xf numFmtId="0" fontId="31" fillId="0" borderId="7" xfId="0" applyFont="1" applyBorder="1" applyAlignment="1" applyProtection="1">
      <alignment horizontal="center"/>
      <protection locked="0"/>
    </xf>
    <xf numFmtId="0" fontId="31" fillId="0" borderId="9" xfId="0" applyFont="1" applyBorder="1" applyAlignment="1" applyProtection="1">
      <alignment horizontal="center"/>
      <protection locked="0"/>
    </xf>
    <xf numFmtId="0" fontId="28" fillId="0" borderId="4" xfId="0" applyFont="1" applyBorder="1" applyAlignment="1" applyProtection="1">
      <alignment horizontal="left"/>
    </xf>
    <xf numFmtId="0" fontId="28" fillId="0" borderId="7" xfId="0" applyFont="1" applyBorder="1" applyAlignment="1" applyProtection="1">
      <alignment horizontal="left"/>
    </xf>
    <xf numFmtId="0" fontId="28" fillId="0" borderId="9" xfId="0" applyFont="1" applyBorder="1" applyAlignment="1" applyProtection="1">
      <alignment horizontal="left"/>
    </xf>
    <xf numFmtId="164" fontId="27" fillId="0" borderId="5" xfId="0" applyNumberFormat="1" applyFont="1" applyFill="1" applyBorder="1" applyAlignment="1" applyProtection="1">
      <alignment horizontal="distributed" vertical="center"/>
    </xf>
    <xf numFmtId="164" fontId="27" fillId="0" borderId="14" xfId="0" applyNumberFormat="1" applyFont="1" applyFill="1" applyBorder="1" applyAlignment="1" applyProtection="1">
      <alignment horizontal="distributed" vertical="center"/>
    </xf>
    <xf numFmtId="164" fontId="27" fillId="0" borderId="8" xfId="0" applyNumberFormat="1" applyFont="1" applyFill="1" applyBorder="1" applyAlignment="1" applyProtection="1">
      <alignment horizontal="distributed" vertic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center" vertical="center"/>
    </xf>
    <xf numFmtId="165" fontId="32" fillId="6" borderId="5" xfId="1" applyFont="1" applyFill="1" applyBorder="1" applyAlignment="1" applyProtection="1">
      <alignment horizontal="center" vertical="center"/>
      <protection locked="0"/>
    </xf>
    <xf numFmtId="165" fontId="32" fillId="6" borderId="8" xfId="1" applyFont="1" applyFill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 wrapText="1"/>
    </xf>
    <xf numFmtId="0" fontId="27" fillId="0" borderId="8" xfId="0" applyFont="1" applyBorder="1" applyAlignment="1" applyProtection="1">
      <alignment horizontal="center" vertical="center" wrapText="1"/>
    </xf>
    <xf numFmtId="0" fontId="34" fillId="0" borderId="10" xfId="0" applyFont="1" applyBorder="1" applyAlignment="1" applyProtection="1">
      <alignment horizontal="center"/>
    </xf>
    <xf numFmtId="0" fontId="34" fillId="0" borderId="11" xfId="0" applyFont="1" applyBorder="1" applyAlignment="1" applyProtection="1">
      <alignment horizontal="center"/>
    </xf>
    <xf numFmtId="0" fontId="27" fillId="0" borderId="2" xfId="0" applyFont="1" applyBorder="1" applyAlignment="1" applyProtection="1">
      <alignment horizontal="justify" vertical="center" wrapText="1"/>
    </xf>
    <xf numFmtId="0" fontId="27" fillId="0" borderId="11" xfId="0" applyFont="1" applyBorder="1" applyAlignment="1" applyProtection="1">
      <alignment horizontal="justify" vertical="center" wrapText="1"/>
    </xf>
    <xf numFmtId="0" fontId="27" fillId="0" borderId="3" xfId="0" applyFont="1" applyBorder="1" applyAlignment="1" applyProtection="1">
      <alignment horizontal="justify" vertical="center" wrapText="1"/>
    </xf>
    <xf numFmtId="0" fontId="27" fillId="0" borderId="13" xfId="0" applyFont="1" applyBorder="1" applyAlignment="1" applyProtection="1">
      <alignment horizontal="justify" vertical="center" wrapText="1"/>
    </xf>
    <xf numFmtId="10" fontId="10" fillId="0" borderId="5" xfId="2" applyNumberFormat="1" applyFont="1" applyFill="1" applyBorder="1" applyAlignment="1" applyProtection="1">
      <alignment horizontal="center" vertical="center"/>
    </xf>
    <xf numFmtId="10" fontId="10" fillId="0" borderId="8" xfId="2" applyNumberFormat="1" applyFont="1" applyFill="1" applyBorder="1" applyAlignment="1" applyProtection="1">
      <alignment horizontal="center" vertical="center"/>
    </xf>
    <xf numFmtId="164" fontId="30" fillId="0" borderId="5" xfId="0" applyNumberFormat="1" applyFont="1" applyFill="1" applyBorder="1" applyAlignment="1" applyProtection="1">
      <alignment horizontal="distributed" vertical="center"/>
    </xf>
    <xf numFmtId="164" fontId="30" fillId="0" borderId="8" xfId="0" applyNumberFormat="1" applyFont="1" applyFill="1" applyBorder="1" applyAlignment="1" applyProtection="1">
      <alignment horizontal="distributed" vertical="center"/>
    </xf>
    <xf numFmtId="0" fontId="28" fillId="2" borderId="4" xfId="0" applyFont="1" applyFill="1" applyBorder="1" applyAlignment="1" applyProtection="1">
      <alignment horizontal="center" vertical="center"/>
    </xf>
    <xf numFmtId="0" fontId="28" fillId="2" borderId="7" xfId="0" applyFont="1" applyFill="1" applyBorder="1" applyAlignment="1" applyProtection="1">
      <alignment horizontal="center" vertical="center"/>
    </xf>
    <xf numFmtId="0" fontId="28" fillId="2" borderId="9" xfId="0" applyFont="1" applyFill="1" applyBorder="1" applyAlignment="1" applyProtection="1">
      <alignment horizontal="center" vertical="center"/>
    </xf>
    <xf numFmtId="0" fontId="36" fillId="0" borderId="4" xfId="0" applyFont="1" applyFill="1" applyBorder="1" applyAlignment="1" applyProtection="1">
      <alignment horizontal="left"/>
    </xf>
    <xf numFmtId="0" fontId="36" fillId="0" borderId="7" xfId="0" applyFont="1" applyFill="1" applyBorder="1" applyAlignment="1" applyProtection="1">
      <alignment horizontal="left"/>
    </xf>
    <xf numFmtId="0" fontId="36" fillId="0" borderId="9" xfId="0" applyFont="1" applyFill="1" applyBorder="1" applyAlignment="1" applyProtection="1">
      <alignment horizontal="left"/>
    </xf>
    <xf numFmtId="0" fontId="28" fillId="0" borderId="5" xfId="0" applyFont="1" applyBorder="1" applyAlignment="1" applyProtection="1">
      <alignment horizontal="center" vertical="top"/>
    </xf>
    <xf numFmtId="0" fontId="28" fillId="0" borderId="14" xfId="0" applyFont="1" applyBorder="1" applyAlignment="1" applyProtection="1">
      <alignment horizontal="center" vertical="top"/>
    </xf>
    <xf numFmtId="0" fontId="28" fillId="0" borderId="8" xfId="0" applyFont="1" applyBorder="1" applyAlignment="1" applyProtection="1">
      <alignment horizontal="center" vertical="top"/>
    </xf>
    <xf numFmtId="0" fontId="27" fillId="0" borderId="4" xfId="0" applyFont="1" applyFill="1" applyBorder="1" applyAlignment="1" applyProtection="1">
      <alignment horizontal="center"/>
    </xf>
    <xf numFmtId="0" fontId="27" fillId="0" borderId="7" xfId="0" applyFont="1" applyFill="1" applyBorder="1" applyAlignment="1" applyProtection="1">
      <alignment horizontal="center"/>
    </xf>
    <xf numFmtId="0" fontId="27" fillId="0" borderId="9" xfId="0" applyFont="1" applyFill="1" applyBorder="1" applyAlignment="1" applyProtection="1">
      <alignment horizontal="center"/>
    </xf>
    <xf numFmtId="0" fontId="27" fillId="0" borderId="5" xfId="0" applyFont="1" applyBorder="1" applyAlignment="1" applyProtection="1">
      <alignment vertical="top" wrapText="1"/>
    </xf>
    <xf numFmtId="0" fontId="27" fillId="0" borderId="14" xfId="0" applyFont="1" applyBorder="1" applyAlignment="1" applyProtection="1">
      <alignment vertical="top" wrapText="1"/>
    </xf>
    <xf numFmtId="0" fontId="27" fillId="0" borderId="8" xfId="0" applyFont="1" applyBorder="1" applyAlignment="1" applyProtection="1">
      <alignment vertical="top" wrapText="1"/>
    </xf>
    <xf numFmtId="0" fontId="27" fillId="0" borderId="1" xfId="0" applyFont="1" applyBorder="1" applyAlignment="1" applyProtection="1">
      <alignment vertical="center" wrapText="1"/>
    </xf>
    <xf numFmtId="0" fontId="27" fillId="0" borderId="5" xfId="0" applyFont="1" applyBorder="1" applyAlignment="1" applyProtection="1">
      <alignment horizontal="left" vertical="center" wrapText="1"/>
    </xf>
    <xf numFmtId="0" fontId="27" fillId="0" borderId="8" xfId="0" applyFont="1" applyBorder="1" applyAlignment="1" applyProtection="1">
      <alignment horizontal="left" vertical="center" wrapText="1"/>
    </xf>
    <xf numFmtId="0" fontId="27" fillId="9" borderId="1" xfId="0" applyFont="1" applyFill="1" applyBorder="1" applyAlignment="1" applyProtection="1">
      <alignment horizontal="center"/>
    </xf>
    <xf numFmtId="0" fontId="33" fillId="5" borderId="8" xfId="0" applyFont="1" applyFill="1" applyBorder="1" applyAlignment="1" applyProtection="1">
      <alignment horizontal="center"/>
    </xf>
    <xf numFmtId="0" fontId="33" fillId="5" borderId="1" xfId="0" applyFont="1" applyFill="1" applyBorder="1" applyAlignment="1" applyProtection="1">
      <alignment horizontal="center"/>
    </xf>
    <xf numFmtId="165" fontId="30" fillId="0" borderId="1" xfId="1" applyFont="1" applyBorder="1" applyAlignment="1" applyProtection="1">
      <alignment horizontal="center" vertical="center"/>
    </xf>
    <xf numFmtId="0" fontId="21" fillId="0" borderId="2" xfId="0" applyFont="1" applyBorder="1" applyAlignment="1" applyProtection="1">
      <alignment vertical="top" wrapText="1"/>
    </xf>
    <xf numFmtId="0" fontId="21" fillId="0" borderId="10" xfId="0" applyFont="1" applyBorder="1" applyAlignment="1" applyProtection="1">
      <alignment vertical="top" wrapText="1"/>
    </xf>
    <xf numFmtId="0" fontId="21" fillId="0" borderId="15" xfId="0" applyFont="1" applyBorder="1" applyAlignment="1" applyProtection="1">
      <alignment vertical="top" wrapText="1"/>
    </xf>
    <xf numFmtId="0" fontId="21" fillId="0" borderId="0" xfId="0" applyFont="1" applyBorder="1" applyAlignment="1" applyProtection="1">
      <alignment vertical="top" wrapText="1"/>
    </xf>
    <xf numFmtId="0" fontId="39" fillId="0" borderId="1" xfId="0" applyFont="1" applyBorder="1" applyAlignment="1" applyProtection="1">
      <alignment horizontal="left"/>
    </xf>
    <xf numFmtId="0" fontId="42" fillId="0" borderId="4" xfId="0" applyFont="1" applyBorder="1" applyAlignment="1" applyProtection="1">
      <alignment horizontal="center"/>
      <protection locked="0"/>
    </xf>
    <xf numFmtId="0" fontId="42" fillId="0" borderId="7" xfId="0" applyFont="1" applyBorder="1" applyAlignment="1" applyProtection="1">
      <alignment horizontal="center"/>
      <protection locked="0"/>
    </xf>
    <xf numFmtId="0" fontId="42" fillId="0" borderId="9" xfId="0" applyFont="1" applyBorder="1" applyAlignment="1" applyProtection="1">
      <alignment horizontal="center"/>
      <protection locked="0"/>
    </xf>
    <xf numFmtId="0" fontId="39" fillId="0" borderId="4" xfId="0" applyFont="1" applyBorder="1" applyAlignment="1" applyProtection="1">
      <alignment horizontal="left"/>
    </xf>
    <xf numFmtId="0" fontId="39" fillId="0" borderId="7" xfId="0" applyFont="1" applyBorder="1" applyAlignment="1" applyProtection="1">
      <alignment horizontal="left"/>
    </xf>
    <xf numFmtId="0" fontId="39" fillId="0" borderId="9" xfId="0" applyFont="1" applyBorder="1" applyAlignment="1" applyProtection="1">
      <alignment horizontal="left"/>
    </xf>
    <xf numFmtId="0" fontId="39" fillId="3" borderId="1" xfId="0" applyFont="1" applyFill="1" applyBorder="1" applyAlignment="1" applyProtection="1">
      <alignment horizontal="center"/>
    </xf>
    <xf numFmtId="0" fontId="43" fillId="0" borderId="1" xfId="0" applyFont="1" applyBorder="1" applyAlignment="1" applyProtection="1">
      <alignment horizontal="left"/>
    </xf>
    <xf numFmtId="0" fontId="43" fillId="0" borderId="4" xfId="0" applyFont="1" applyBorder="1" applyAlignment="1" applyProtection="1">
      <alignment horizontal="left"/>
    </xf>
    <xf numFmtId="0" fontId="43" fillId="0" borderId="7" xfId="0" applyFont="1" applyBorder="1" applyAlignment="1" applyProtection="1">
      <alignment horizontal="left"/>
    </xf>
    <xf numFmtId="0" fontId="41" fillId="0" borderId="4" xfId="0" applyFont="1" applyBorder="1" applyAlignment="1" applyProtection="1">
      <alignment horizontal="right" vertical="center"/>
      <protection locked="0"/>
    </xf>
    <xf numFmtId="0" fontId="41" fillId="0" borderId="9" xfId="0" applyFont="1" applyBorder="1" applyAlignment="1" applyProtection="1">
      <alignment horizontal="right" vertical="center"/>
      <protection locked="0"/>
    </xf>
    <xf numFmtId="0" fontId="38" fillId="0" borderId="0" xfId="0" applyFont="1" applyAlignment="1">
      <alignment horizontal="center"/>
    </xf>
    <xf numFmtId="0" fontId="39" fillId="0" borderId="0" xfId="0" applyFont="1" applyAlignment="1" applyProtection="1">
      <alignment horizontal="center"/>
    </xf>
    <xf numFmtId="0" fontId="39" fillId="2" borderId="4" xfId="0" applyFont="1" applyFill="1" applyBorder="1" applyAlignment="1" applyProtection="1">
      <alignment horizontal="center"/>
    </xf>
    <xf numFmtId="0" fontId="39" fillId="2" borderId="7" xfId="0" applyFont="1" applyFill="1" applyBorder="1" applyAlignment="1" applyProtection="1">
      <alignment horizontal="center"/>
    </xf>
    <xf numFmtId="0" fontId="39" fillId="2" borderId="9" xfId="0" applyFont="1" applyFill="1" applyBorder="1" applyAlignment="1" applyProtection="1">
      <alignment horizontal="center"/>
    </xf>
    <xf numFmtId="17" fontId="41" fillId="0" borderId="0" xfId="0" applyNumberFormat="1" applyFont="1" applyAlignment="1" applyProtection="1">
      <alignment horizontal="center"/>
      <protection locked="0"/>
    </xf>
    <xf numFmtId="0" fontId="41" fillId="0" borderId="0" xfId="0" applyFont="1" applyAlignment="1" applyProtection="1">
      <alignment horizontal="center"/>
      <protection locked="0"/>
    </xf>
    <xf numFmtId="0" fontId="42" fillId="0" borderId="1" xfId="0" applyFont="1" applyBorder="1" applyAlignment="1" applyProtection="1">
      <alignment horizontal="center"/>
      <protection locked="0"/>
    </xf>
    <xf numFmtId="0" fontId="46" fillId="0" borderId="4" xfId="0" applyFont="1" applyBorder="1" applyAlignment="1" applyProtection="1">
      <alignment horizontal="center" vertical="center" wrapText="1"/>
    </xf>
    <xf numFmtId="0" fontId="46" fillId="0" borderId="7" xfId="0" applyFont="1" applyBorder="1" applyAlignment="1" applyProtection="1">
      <alignment horizontal="center" vertical="center" wrapText="1"/>
    </xf>
    <xf numFmtId="0" fontId="46" fillId="0" borderId="9" xfId="0" applyFont="1" applyBorder="1" applyAlignment="1" applyProtection="1">
      <alignment horizontal="center" vertical="center" wrapText="1"/>
    </xf>
    <xf numFmtId="1" fontId="44" fillId="0" borderId="4" xfId="3" applyNumberFormat="1" applyFont="1" applyBorder="1" applyAlignment="1" applyProtection="1">
      <alignment horizontal="center" vertical="center"/>
    </xf>
    <xf numFmtId="1" fontId="44" fillId="0" borderId="9" xfId="3" applyNumberFormat="1" applyFont="1" applyBorder="1" applyAlignment="1" applyProtection="1">
      <alignment horizontal="center" vertical="center"/>
    </xf>
    <xf numFmtId="0" fontId="47" fillId="0" borderId="10" xfId="0" applyFont="1" applyBorder="1" applyAlignment="1" applyProtection="1">
      <alignment horizontal="left"/>
    </xf>
    <xf numFmtId="0" fontId="47" fillId="0" borderId="11" xfId="0" applyFont="1" applyBorder="1" applyAlignment="1" applyProtection="1">
      <alignment horizontal="left"/>
    </xf>
    <xf numFmtId="0" fontId="47" fillId="0" borderId="12" xfId="0" applyFont="1" applyBorder="1" applyAlignment="1" applyProtection="1"/>
    <xf numFmtId="0" fontId="47" fillId="0" borderId="13" xfId="0" applyFont="1" applyBorder="1" applyAlignment="1" applyProtection="1"/>
    <xf numFmtId="0" fontId="47" fillId="0" borderId="12" xfId="0" applyFont="1" applyBorder="1" applyAlignment="1" applyProtection="1">
      <alignment horizontal="left"/>
    </xf>
    <xf numFmtId="0" fontId="47" fillId="0" borderId="13" xfId="0" applyFont="1" applyBorder="1" applyAlignment="1" applyProtection="1">
      <alignment horizontal="left"/>
    </xf>
    <xf numFmtId="0" fontId="43" fillId="0" borderId="1" xfId="0" applyFont="1" applyBorder="1" applyAlignment="1" applyProtection="1">
      <alignment horizontal="center"/>
    </xf>
    <xf numFmtId="1" fontId="41" fillId="0" borderId="4" xfId="3" applyNumberFormat="1" applyFont="1" applyBorder="1" applyAlignment="1" applyProtection="1">
      <alignment horizontal="center" vertical="center"/>
      <protection locked="0"/>
    </xf>
    <xf numFmtId="1" fontId="41" fillId="0" borderId="9" xfId="3" applyNumberFormat="1" applyFont="1" applyBorder="1" applyAlignment="1" applyProtection="1">
      <alignment horizontal="center" vertical="center"/>
      <protection locked="0"/>
    </xf>
    <xf numFmtId="0" fontId="47" fillId="0" borderId="7" xfId="0" applyFont="1" applyBorder="1" applyAlignment="1" applyProtection="1">
      <alignment horizontal="left"/>
    </xf>
    <xf numFmtId="0" fontId="47" fillId="0" borderId="9" xfId="0" applyFont="1" applyBorder="1" applyAlignment="1" applyProtection="1">
      <alignment horizontal="left"/>
    </xf>
    <xf numFmtId="0" fontId="39" fillId="4" borderId="1" xfId="0" applyFont="1" applyFill="1" applyBorder="1" applyAlignment="1" applyProtection="1">
      <alignment horizontal="center"/>
    </xf>
    <xf numFmtId="0" fontId="39" fillId="2" borderId="1" xfId="0" applyFont="1" applyFill="1" applyBorder="1" applyAlignment="1" applyProtection="1">
      <alignment horizontal="center"/>
    </xf>
    <xf numFmtId="0" fontId="39" fillId="0" borderId="5" xfId="0" applyFont="1" applyBorder="1" applyAlignment="1" applyProtection="1">
      <alignment horizontal="center" vertical="center"/>
    </xf>
    <xf numFmtId="0" fontId="39" fillId="0" borderId="14" xfId="0" applyFont="1" applyBorder="1" applyAlignment="1" applyProtection="1">
      <alignment horizontal="center" vertical="center"/>
    </xf>
    <xf numFmtId="0" fontId="39" fillId="0" borderId="8" xfId="0" applyFont="1" applyBorder="1" applyAlignment="1" applyProtection="1">
      <alignment horizontal="center" vertical="center"/>
    </xf>
    <xf numFmtId="0" fontId="43" fillId="0" borderId="2" xfId="0" applyFont="1" applyBorder="1" applyAlignment="1" applyProtection="1">
      <alignment horizontal="center" vertical="center"/>
    </xf>
    <xf numFmtId="0" fontId="43" fillId="0" borderId="15" xfId="0" applyFont="1" applyBorder="1" applyAlignment="1" applyProtection="1">
      <alignment horizontal="center" vertical="center"/>
    </xf>
    <xf numFmtId="0" fontId="43" fillId="0" borderId="3" xfId="0" applyFont="1" applyBorder="1" applyAlignment="1" applyProtection="1">
      <alignment horizontal="center" vertical="center"/>
    </xf>
    <xf numFmtId="164" fontId="43" fillId="0" borderId="6" xfId="0" applyNumberFormat="1" applyFont="1" applyFill="1" applyBorder="1" applyAlignment="1" applyProtection="1">
      <alignment horizontal="distributed" vertical="center"/>
    </xf>
    <xf numFmtId="0" fontId="49" fillId="0" borderId="1" xfId="0" applyFont="1" applyBorder="1" applyAlignment="1" applyProtection="1">
      <alignment horizontal="left"/>
    </xf>
    <xf numFmtId="0" fontId="48" fillId="0" borderId="5" xfId="0" applyFont="1" applyBorder="1" applyAlignment="1" applyProtection="1">
      <alignment horizontal="center" vertical="center"/>
    </xf>
    <xf numFmtId="0" fontId="48" fillId="0" borderId="8" xfId="0" applyFont="1" applyBorder="1" applyAlignment="1" applyProtection="1">
      <alignment horizontal="center" vertical="center"/>
    </xf>
    <xf numFmtId="0" fontId="49" fillId="0" borderId="2" xfId="0" applyFont="1" applyBorder="1" applyAlignment="1" applyProtection="1">
      <alignment horizontal="left" vertical="center"/>
    </xf>
    <xf numFmtId="0" fontId="49" fillId="0" borderId="3" xfId="0" applyFont="1" applyBorder="1" applyAlignment="1" applyProtection="1">
      <alignment horizontal="left" vertical="center"/>
    </xf>
    <xf numFmtId="164" fontId="49" fillId="0" borderId="5" xfId="0" applyNumberFormat="1" applyFont="1" applyBorder="1" applyAlignment="1" applyProtection="1">
      <alignment horizontal="distributed" vertical="distributed" justifyLastLine="1"/>
    </xf>
    <xf numFmtId="164" fontId="49" fillId="0" borderId="8" xfId="0" applyNumberFormat="1" applyFont="1" applyBorder="1" applyAlignment="1" applyProtection="1">
      <alignment horizontal="distributed" vertical="distributed" justifyLastLine="1"/>
    </xf>
    <xf numFmtId="0" fontId="39" fillId="0" borderId="1" xfId="0" applyFont="1" applyBorder="1" applyAlignment="1" applyProtection="1">
      <alignment horizontal="center" vertical="center"/>
    </xf>
    <xf numFmtId="0" fontId="49" fillId="0" borderId="5" xfId="0" applyFont="1" applyBorder="1" applyAlignment="1" applyProtection="1">
      <alignment horizontal="center" vertical="center"/>
    </xf>
    <xf numFmtId="0" fontId="49" fillId="0" borderId="14" xfId="0" applyFont="1" applyBorder="1" applyAlignment="1" applyProtection="1">
      <alignment horizontal="center" vertical="center"/>
    </xf>
    <xf numFmtId="0" fontId="49" fillId="0" borderId="8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/>
      <protection locked="0"/>
    </xf>
    <xf numFmtId="0" fontId="51" fillId="0" borderId="5" xfId="0" applyFont="1" applyBorder="1" applyAlignment="1" applyProtection="1">
      <alignment horizontal="center" vertical="center" wrapText="1"/>
    </xf>
    <xf numFmtId="0" fontId="51" fillId="0" borderId="14" xfId="0" applyFont="1" applyBorder="1" applyAlignment="1" applyProtection="1">
      <alignment horizontal="center" vertical="center" wrapText="1"/>
    </xf>
    <xf numFmtId="0" fontId="51" fillId="0" borderId="8" xfId="0" applyFont="1" applyBorder="1" applyAlignment="1" applyProtection="1">
      <alignment horizontal="center" vertical="center" wrapText="1"/>
    </xf>
    <xf numFmtId="164" fontId="43" fillId="0" borderId="5" xfId="0" applyNumberFormat="1" applyFont="1" applyFill="1" applyBorder="1" applyAlignment="1" applyProtection="1">
      <alignment horizontal="distributed" vertical="center"/>
    </xf>
    <xf numFmtId="164" fontId="43" fillId="0" borderId="14" xfId="0" applyNumberFormat="1" applyFont="1" applyFill="1" applyBorder="1" applyAlignment="1" applyProtection="1">
      <alignment horizontal="distributed" vertical="center"/>
    </xf>
    <xf numFmtId="164" fontId="43" fillId="0" borderId="8" xfId="0" applyNumberFormat="1" applyFont="1" applyFill="1" applyBorder="1" applyAlignment="1" applyProtection="1">
      <alignment horizontal="distributed" vertical="center"/>
    </xf>
    <xf numFmtId="0" fontId="49" fillId="0" borderId="1" xfId="0" applyFont="1" applyBorder="1" applyAlignment="1" applyProtection="1">
      <alignment horizontal="left"/>
      <protection locked="0"/>
    </xf>
    <xf numFmtId="0" fontId="43" fillId="0" borderId="1" xfId="0" applyFont="1" applyBorder="1" applyAlignment="1" applyProtection="1">
      <alignment horizontal="center" vertical="center"/>
    </xf>
    <xf numFmtId="165" fontId="45" fillId="6" borderId="5" xfId="1" applyFont="1" applyFill="1" applyBorder="1" applyAlignment="1" applyProtection="1">
      <alignment horizontal="center" vertical="center"/>
      <protection locked="0"/>
    </xf>
    <xf numFmtId="165" fontId="45" fillId="6" borderId="8" xfId="1" applyFont="1" applyFill="1" applyBorder="1" applyAlignment="1" applyProtection="1">
      <alignment horizontal="center" vertical="center"/>
      <protection locked="0"/>
    </xf>
    <xf numFmtId="0" fontId="43" fillId="0" borderId="5" xfId="0" applyFont="1" applyBorder="1" applyAlignment="1" applyProtection="1">
      <alignment horizontal="center" vertical="center" wrapText="1"/>
    </xf>
    <xf numFmtId="0" fontId="43" fillId="0" borderId="8" xfId="0" applyFont="1" applyBorder="1" applyAlignment="1" applyProtection="1">
      <alignment horizontal="center" vertical="center" wrapText="1"/>
    </xf>
    <xf numFmtId="0" fontId="47" fillId="0" borderId="10" xfId="0" applyFont="1" applyBorder="1" applyAlignment="1" applyProtection="1">
      <alignment horizontal="center"/>
    </xf>
    <xf numFmtId="0" fontId="47" fillId="0" borderId="11" xfId="0" applyFont="1" applyBorder="1" applyAlignment="1" applyProtection="1">
      <alignment horizontal="center"/>
    </xf>
    <xf numFmtId="0" fontId="43" fillId="0" borderId="5" xfId="0" applyFont="1" applyBorder="1" applyAlignment="1" applyProtection="1">
      <alignment horizontal="center" vertical="center"/>
    </xf>
    <xf numFmtId="0" fontId="43" fillId="0" borderId="8" xfId="0" applyFont="1" applyBorder="1" applyAlignment="1" applyProtection="1">
      <alignment horizontal="center" vertical="center"/>
    </xf>
    <xf numFmtId="165" fontId="43" fillId="3" borderId="5" xfId="1" applyFont="1" applyFill="1" applyBorder="1" applyAlignment="1" applyProtection="1">
      <alignment horizontal="center" vertical="center"/>
    </xf>
    <xf numFmtId="165" fontId="43" fillId="3" borderId="8" xfId="1" applyFont="1" applyFill="1" applyBorder="1" applyAlignment="1" applyProtection="1">
      <alignment horizontal="center" vertical="center"/>
    </xf>
    <xf numFmtId="0" fontId="43" fillId="7" borderId="1" xfId="0" applyFont="1" applyFill="1" applyBorder="1" applyAlignment="1" applyProtection="1">
      <alignment horizontal="left"/>
    </xf>
    <xf numFmtId="0" fontId="39" fillId="4" borderId="4" xfId="0" applyFont="1" applyFill="1" applyBorder="1" applyAlignment="1" applyProtection="1">
      <alignment horizontal="center"/>
    </xf>
    <xf numFmtId="0" fontId="39" fillId="4" borderId="9" xfId="0" applyFont="1" applyFill="1" applyBorder="1" applyAlignment="1" applyProtection="1">
      <alignment horizontal="center"/>
    </xf>
    <xf numFmtId="0" fontId="39" fillId="4" borderId="7" xfId="0" applyFont="1" applyFill="1" applyBorder="1" applyAlignment="1" applyProtection="1">
      <alignment horizontal="center"/>
    </xf>
    <xf numFmtId="0" fontId="43" fillId="0" borderId="1" xfId="0" applyFont="1" applyBorder="1" applyAlignment="1" applyProtection="1">
      <alignment horizontal="left" vertical="center"/>
    </xf>
    <xf numFmtId="0" fontId="43" fillId="5" borderId="1" xfId="0" applyFont="1" applyFill="1" applyBorder="1" applyAlignment="1" applyProtection="1">
      <alignment horizontal="left" vertical="center"/>
    </xf>
    <xf numFmtId="0" fontId="12" fillId="5" borderId="1" xfId="0" applyFont="1" applyFill="1" applyBorder="1" applyAlignment="1" applyProtection="1">
      <alignment horizontal="center"/>
    </xf>
    <xf numFmtId="0" fontId="43" fillId="0" borderId="2" xfId="0" applyFont="1" applyBorder="1" applyAlignment="1" applyProtection="1">
      <alignment horizontal="justify" vertical="center" wrapText="1"/>
    </xf>
    <xf numFmtId="0" fontId="43" fillId="0" borderId="11" xfId="0" applyFont="1" applyBorder="1" applyAlignment="1" applyProtection="1">
      <alignment horizontal="justify" vertical="center" wrapText="1"/>
    </xf>
    <xf numFmtId="0" fontId="43" fillId="0" borderId="3" xfId="0" applyFont="1" applyBorder="1" applyAlignment="1" applyProtection="1">
      <alignment horizontal="justify" vertical="center" wrapText="1"/>
    </xf>
    <xf numFmtId="0" fontId="43" fillId="0" borderId="13" xfId="0" applyFont="1" applyBorder="1" applyAlignment="1" applyProtection="1">
      <alignment horizontal="justify" vertical="center" wrapText="1"/>
    </xf>
    <xf numFmtId="10" fontId="51" fillId="0" borderId="5" xfId="2" applyNumberFormat="1" applyFont="1" applyFill="1" applyBorder="1" applyAlignment="1" applyProtection="1">
      <alignment horizontal="center" vertical="center"/>
    </xf>
    <xf numFmtId="10" fontId="51" fillId="0" borderId="8" xfId="2" applyNumberFormat="1" applyFont="1" applyFill="1" applyBorder="1" applyAlignment="1" applyProtection="1">
      <alignment horizontal="center" vertical="center"/>
    </xf>
    <xf numFmtId="164" fontId="41" fillId="0" borderId="5" xfId="0" applyNumberFormat="1" applyFont="1" applyFill="1" applyBorder="1" applyAlignment="1" applyProtection="1">
      <alignment horizontal="distributed" vertical="center"/>
    </xf>
    <xf numFmtId="164" fontId="41" fillId="0" borderId="8" xfId="0" applyNumberFormat="1" applyFont="1" applyFill="1" applyBorder="1" applyAlignment="1" applyProtection="1">
      <alignment horizontal="distributed" vertical="center"/>
    </xf>
    <xf numFmtId="0" fontId="43" fillId="0" borderId="4" xfId="0" applyFont="1" applyBorder="1" applyAlignment="1" applyProtection="1">
      <alignment horizontal="justify" vertical="center" wrapText="1"/>
    </xf>
    <xf numFmtId="0" fontId="43" fillId="0" borderId="9" xfId="0" applyFont="1" applyBorder="1" applyAlignment="1" applyProtection="1">
      <alignment horizontal="justify" vertical="center" wrapText="1"/>
    </xf>
    <xf numFmtId="0" fontId="43" fillId="0" borderId="4" xfId="0" applyFont="1" applyBorder="1" applyAlignment="1" applyProtection="1">
      <alignment horizontal="left" vertical="center"/>
    </xf>
    <xf numFmtId="0" fontId="43" fillId="0" borderId="9" xfId="0" applyFont="1" applyBorder="1" applyAlignment="1" applyProtection="1">
      <alignment horizontal="left" vertical="center"/>
    </xf>
    <xf numFmtId="0" fontId="43" fillId="0" borderId="9" xfId="0" applyFont="1" applyBorder="1" applyAlignment="1" applyProtection="1">
      <alignment horizontal="left"/>
    </xf>
    <xf numFmtId="0" fontId="43" fillId="0" borderId="1" xfId="0" applyFont="1" applyBorder="1" applyAlignment="1" applyProtection="1">
      <alignment horizontal="left" vertical="center" wrapText="1"/>
    </xf>
    <xf numFmtId="0" fontId="39" fillId="2" borderId="4" xfId="0" applyFont="1" applyFill="1" applyBorder="1" applyAlignment="1" applyProtection="1">
      <alignment horizontal="center" vertical="center"/>
    </xf>
    <xf numFmtId="0" fontId="39" fillId="2" borderId="7" xfId="0" applyFont="1" applyFill="1" applyBorder="1" applyAlignment="1" applyProtection="1">
      <alignment horizontal="center" vertical="center"/>
    </xf>
    <xf numFmtId="0" fontId="39" fillId="2" borderId="9" xfId="0" applyFont="1" applyFill="1" applyBorder="1" applyAlignment="1" applyProtection="1">
      <alignment horizontal="center" vertical="center"/>
    </xf>
    <xf numFmtId="0" fontId="39" fillId="2" borderId="4" xfId="0" applyFont="1" applyFill="1" applyBorder="1" applyAlignment="1" applyProtection="1">
      <alignment horizontal="justify" wrapText="1"/>
    </xf>
    <xf numFmtId="0" fontId="39" fillId="2" borderId="9" xfId="0" applyFont="1" applyFill="1" applyBorder="1" applyAlignment="1" applyProtection="1">
      <alignment horizontal="justify" wrapText="1"/>
    </xf>
    <xf numFmtId="0" fontId="43" fillId="0" borderId="4" xfId="0" applyFont="1" applyBorder="1" applyAlignment="1" applyProtection="1">
      <alignment horizontal="justify" wrapText="1"/>
    </xf>
    <xf numFmtId="0" fontId="43" fillId="0" borderId="9" xfId="0" applyFont="1" applyBorder="1" applyAlignment="1" applyProtection="1">
      <alignment horizontal="justify" wrapText="1"/>
    </xf>
    <xf numFmtId="0" fontId="53" fillId="0" borderId="4" xfId="0" applyFont="1" applyFill="1" applyBorder="1" applyAlignment="1" applyProtection="1">
      <alignment horizontal="left"/>
    </xf>
    <xf numFmtId="0" fontId="53" fillId="0" borderId="7" xfId="0" applyFont="1" applyFill="1" applyBorder="1" applyAlignment="1" applyProtection="1">
      <alignment horizontal="left"/>
    </xf>
    <xf numFmtId="0" fontId="53" fillId="0" borderId="9" xfId="0" applyFont="1" applyFill="1" applyBorder="1" applyAlignment="1" applyProtection="1">
      <alignment horizontal="left"/>
    </xf>
    <xf numFmtId="0" fontId="39" fillId="0" borderId="5" xfId="0" applyFont="1" applyBorder="1" applyAlignment="1" applyProtection="1">
      <alignment horizontal="center" vertical="top"/>
    </xf>
    <xf numFmtId="0" fontId="39" fillId="0" borderId="14" xfId="0" applyFont="1" applyBorder="1" applyAlignment="1" applyProtection="1">
      <alignment horizontal="center" vertical="top"/>
    </xf>
    <xf numFmtId="0" fontId="39" fillId="0" borderId="8" xfId="0" applyFont="1" applyBorder="1" applyAlignment="1" applyProtection="1">
      <alignment horizontal="center" vertical="top"/>
    </xf>
    <xf numFmtId="0" fontId="43" fillId="0" borderId="4" xfId="0" applyFont="1" applyFill="1" applyBorder="1" applyAlignment="1" applyProtection="1">
      <alignment horizontal="center"/>
    </xf>
    <xf numFmtId="0" fontId="43" fillId="0" borderId="7" xfId="0" applyFont="1" applyFill="1" applyBorder="1" applyAlignment="1" applyProtection="1">
      <alignment horizontal="center"/>
    </xf>
    <xf numFmtId="0" fontId="43" fillId="0" borderId="9" xfId="0" applyFont="1" applyFill="1" applyBorder="1" applyAlignment="1" applyProtection="1">
      <alignment horizontal="center"/>
    </xf>
    <xf numFmtId="0" fontId="43" fillId="0" borderId="5" xfId="0" applyFont="1" applyBorder="1" applyAlignment="1" applyProtection="1">
      <alignment vertical="top" wrapText="1"/>
    </xf>
    <xf numFmtId="0" fontId="43" fillId="0" borderId="14" xfId="0" applyFont="1" applyBorder="1" applyAlignment="1" applyProtection="1">
      <alignment vertical="top" wrapText="1"/>
    </xf>
    <xf numFmtId="0" fontId="43" fillId="0" borderId="8" xfId="0" applyFont="1" applyBorder="1" applyAlignment="1" applyProtection="1">
      <alignment vertical="top" wrapText="1"/>
    </xf>
    <xf numFmtId="0" fontId="43" fillId="0" borderId="1" xfId="0" applyFont="1" applyBorder="1" applyAlignment="1" applyProtection="1">
      <alignment vertical="center" wrapText="1"/>
    </xf>
    <xf numFmtId="0" fontId="43" fillId="0" borderId="5" xfId="0" applyFont="1" applyBorder="1" applyAlignment="1" applyProtection="1">
      <alignment horizontal="left" vertical="center" wrapText="1"/>
    </xf>
    <xf numFmtId="0" fontId="43" fillId="0" borderId="8" xfId="0" applyFont="1" applyBorder="1" applyAlignment="1" applyProtection="1">
      <alignment horizontal="left" vertical="center" wrapText="1"/>
    </xf>
    <xf numFmtId="0" fontId="43" fillId="2" borderId="4" xfId="0" applyFont="1" applyFill="1" applyBorder="1" applyAlignment="1" applyProtection="1">
      <alignment horizontal="center" vertical="center" wrapText="1"/>
    </xf>
    <xf numFmtId="0" fontId="43" fillId="2" borderId="9" xfId="0" applyFont="1" applyFill="1" applyBorder="1" applyAlignment="1" applyProtection="1">
      <alignment horizontal="center" vertical="center" wrapText="1"/>
    </xf>
    <xf numFmtId="0" fontId="43" fillId="9" borderId="1" xfId="0" applyFont="1" applyFill="1" applyBorder="1" applyAlignment="1" applyProtection="1">
      <alignment horizontal="center"/>
    </xf>
    <xf numFmtId="0" fontId="46" fillId="5" borderId="8" xfId="0" applyFont="1" applyFill="1" applyBorder="1" applyAlignment="1" applyProtection="1">
      <alignment horizontal="center"/>
    </xf>
    <xf numFmtId="0" fontId="46" fillId="5" borderId="1" xfId="0" applyFont="1" applyFill="1" applyBorder="1" applyAlignment="1" applyProtection="1">
      <alignment horizontal="center"/>
    </xf>
    <xf numFmtId="165" fontId="41" fillId="0" borderId="1" xfId="1" applyFont="1" applyBorder="1" applyAlignment="1" applyProtection="1">
      <alignment horizontal="center" vertical="center"/>
    </xf>
    <xf numFmtId="0" fontId="44" fillId="0" borderId="2" xfId="0" applyFont="1" applyBorder="1" applyAlignment="1" applyProtection="1">
      <alignment vertical="top" wrapText="1"/>
    </xf>
    <xf numFmtId="0" fontId="44" fillId="0" borderId="10" xfId="0" applyFont="1" applyBorder="1" applyAlignment="1" applyProtection="1">
      <alignment vertical="top" wrapText="1"/>
    </xf>
    <xf numFmtId="0" fontId="44" fillId="0" borderId="15" xfId="0" applyFont="1" applyBorder="1" applyAlignment="1" applyProtection="1">
      <alignment vertical="top" wrapText="1"/>
    </xf>
    <xf numFmtId="0" fontId="44" fillId="0" borderId="0" xfId="0" applyFont="1" applyBorder="1" applyAlignment="1" applyProtection="1">
      <alignment vertical="top" wrapText="1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3" name="Seta para a direita 2"/>
        <xdr:cNvSpPr/>
      </xdr:nvSpPr>
      <xdr:spPr>
        <a:xfrm>
          <a:off x="3876675" y="15144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4" name="Seta para a direita 3"/>
        <xdr:cNvSpPr/>
      </xdr:nvSpPr>
      <xdr:spPr>
        <a:xfrm>
          <a:off x="3667125" y="2133600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2" name="Seta para a direita 1"/>
        <xdr:cNvSpPr/>
      </xdr:nvSpPr>
      <xdr:spPr>
        <a:xfrm>
          <a:off x="3228975" y="17430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G174"/>
  <sheetViews>
    <sheetView topLeftCell="A43" workbookViewId="0">
      <selection activeCell="C69" sqref="C69"/>
    </sheetView>
  </sheetViews>
  <sheetFormatPr defaultColWidth="9.140625" defaultRowHeight="15" x14ac:dyDescent="0.25"/>
  <cols>
    <col min="1" max="1" width="9.28515625" style="4" customWidth="1"/>
    <col min="2" max="4" width="22.7109375" style="4" customWidth="1"/>
    <col min="5" max="5" width="25.28515625" style="4" customWidth="1"/>
    <col min="6" max="6" width="17.42578125" style="4" customWidth="1"/>
    <col min="7" max="7" width="14.140625" style="4" customWidth="1"/>
    <col min="8" max="16384" width="9.140625" style="4"/>
  </cols>
  <sheetData>
    <row r="1" spans="1:5" ht="42.75" customHeight="1" x14ac:dyDescent="0.3">
      <c r="A1" s="302" t="s">
        <v>179</v>
      </c>
      <c r="B1" s="302"/>
      <c r="C1" s="302"/>
      <c r="D1" s="302"/>
      <c r="E1" s="302"/>
    </row>
    <row r="2" spans="1:5" ht="30.75" customHeight="1" x14ac:dyDescent="0.45">
      <c r="A2" s="312"/>
      <c r="B2" s="312"/>
      <c r="C2" s="312"/>
      <c r="D2" s="312"/>
      <c r="E2" s="312"/>
    </row>
    <row r="3" spans="1:5" ht="18.75" x14ac:dyDescent="0.3">
      <c r="A3" s="313" t="s">
        <v>183</v>
      </c>
      <c r="B3" s="314"/>
      <c r="C3" s="314"/>
      <c r="D3" s="314"/>
      <c r="E3" s="315"/>
    </row>
    <row r="4" spans="1:5" x14ac:dyDescent="0.25">
      <c r="A4" s="31" t="s">
        <v>135</v>
      </c>
      <c r="B4" s="316"/>
      <c r="C4" s="317"/>
      <c r="D4" s="32" t="s">
        <v>136</v>
      </c>
      <c r="E4" s="61"/>
    </row>
    <row r="5" spans="1:5" x14ac:dyDescent="0.25">
      <c r="A5" s="31" t="s">
        <v>0</v>
      </c>
      <c r="B5" s="37"/>
      <c r="C5" s="33" t="s">
        <v>1</v>
      </c>
      <c r="D5" s="38"/>
      <c r="E5" s="33" t="s">
        <v>2</v>
      </c>
    </row>
    <row r="6" spans="1:5" ht="14.45" x14ac:dyDescent="0.3">
      <c r="A6" s="318" t="s">
        <v>137</v>
      </c>
      <c r="B6" s="318"/>
      <c r="C6" s="318"/>
      <c r="D6" s="318"/>
      <c r="E6" s="318"/>
    </row>
    <row r="7" spans="1:5" x14ac:dyDescent="0.25">
      <c r="A7" s="319" t="s">
        <v>138</v>
      </c>
      <c r="B7" s="319"/>
      <c r="C7" s="320"/>
      <c r="D7" s="320"/>
      <c r="E7" s="320"/>
    </row>
    <row r="8" spans="1:5" ht="14.45" x14ac:dyDescent="0.3">
      <c r="A8" s="319" t="s">
        <v>139</v>
      </c>
      <c r="B8" s="319"/>
      <c r="C8" s="321"/>
      <c r="D8" s="322"/>
      <c r="E8" s="323"/>
    </row>
    <row r="9" spans="1:5" x14ac:dyDescent="0.25">
      <c r="A9" s="324" t="s">
        <v>140</v>
      </c>
      <c r="B9" s="325"/>
      <c r="C9" s="326"/>
      <c r="D9" s="39">
        <v>4</v>
      </c>
      <c r="E9" s="26" t="str">
        <f>IF(D9=1,"Lucro Real",IF(D9=2,"Lucro Presumido",IF(D9=3,"SIMPLES-Anexo III",IF(D9=4,"SIMPLES-Anexo IV","RT Inválido"))))</f>
        <v>SIMPLES-Anexo IV</v>
      </c>
    </row>
    <row r="10" spans="1:5" ht="14.45" x14ac:dyDescent="0.3">
      <c r="A10" s="318" t="s">
        <v>174</v>
      </c>
      <c r="B10" s="318"/>
      <c r="C10" s="318"/>
      <c r="D10" s="318"/>
      <c r="E10" s="318"/>
    </row>
    <row r="11" spans="1:5" x14ac:dyDescent="0.25">
      <c r="A11" s="27" t="s">
        <v>3</v>
      </c>
      <c r="B11" s="311" t="s">
        <v>7</v>
      </c>
      <c r="C11" s="311"/>
      <c r="D11" s="311"/>
      <c r="E11" s="53"/>
    </row>
    <row r="12" spans="1:5" x14ac:dyDescent="0.25">
      <c r="A12" s="27" t="s">
        <v>4</v>
      </c>
      <c r="B12" s="327" t="s">
        <v>8</v>
      </c>
      <c r="C12" s="328"/>
      <c r="D12" s="329" t="s">
        <v>180</v>
      </c>
      <c r="E12" s="330"/>
    </row>
    <row r="13" spans="1:5" x14ac:dyDescent="0.25">
      <c r="A13" s="27" t="s">
        <v>5</v>
      </c>
      <c r="B13" s="311" t="s">
        <v>9</v>
      </c>
      <c r="C13" s="311"/>
      <c r="D13" s="311"/>
      <c r="E13" s="102" t="s">
        <v>181</v>
      </c>
    </row>
    <row r="14" spans="1:5" x14ac:dyDescent="0.25">
      <c r="A14" s="27" t="s">
        <v>6</v>
      </c>
      <c r="B14" s="311" t="s">
        <v>10</v>
      </c>
      <c r="C14" s="311"/>
      <c r="D14" s="311"/>
      <c r="E14" s="54">
        <v>10</v>
      </c>
    </row>
    <row r="15" spans="1:5" x14ac:dyDescent="0.25">
      <c r="A15" s="318" t="s">
        <v>134</v>
      </c>
      <c r="B15" s="318"/>
      <c r="C15" s="318"/>
      <c r="D15" s="318"/>
      <c r="E15" s="318"/>
    </row>
    <row r="16" spans="1:5" x14ac:dyDescent="0.25">
      <c r="A16" s="331" t="s">
        <v>11</v>
      </c>
      <c r="B16" s="331"/>
      <c r="C16" s="69" t="s">
        <v>12</v>
      </c>
      <c r="D16" s="331" t="s">
        <v>13</v>
      </c>
      <c r="E16" s="331"/>
    </row>
    <row r="17" spans="1:5" x14ac:dyDescent="0.25">
      <c r="A17" s="331" t="s">
        <v>163</v>
      </c>
      <c r="B17" s="331"/>
      <c r="C17" s="70" t="s">
        <v>182</v>
      </c>
      <c r="D17" s="332">
        <v>5944.4</v>
      </c>
      <c r="E17" s="333"/>
    </row>
    <row r="18" spans="1:5" ht="14.45" x14ac:dyDescent="0.3">
      <c r="A18" s="334" t="s">
        <v>153</v>
      </c>
      <c r="B18" s="335"/>
      <c r="C18" s="336"/>
      <c r="D18" s="337">
        <f>SUM(D17)</f>
        <v>5944.4</v>
      </c>
      <c r="E18" s="338"/>
    </row>
    <row r="19" spans="1:5" x14ac:dyDescent="0.25">
      <c r="A19" s="5" t="s">
        <v>25</v>
      </c>
      <c r="B19" s="339" t="s">
        <v>14</v>
      </c>
      <c r="C19" s="339"/>
      <c r="D19" s="339"/>
      <c r="E19" s="340"/>
    </row>
    <row r="20" spans="1:5" x14ac:dyDescent="0.25">
      <c r="A20" s="6"/>
      <c r="B20" s="341" t="s">
        <v>15</v>
      </c>
      <c r="C20" s="341"/>
      <c r="D20" s="341"/>
      <c r="E20" s="342"/>
    </row>
    <row r="21" spans="1:5" x14ac:dyDescent="0.25">
      <c r="A21" s="5" t="s">
        <v>26</v>
      </c>
      <c r="B21" s="339" t="s">
        <v>16</v>
      </c>
      <c r="C21" s="339"/>
      <c r="D21" s="339"/>
      <c r="E21" s="340"/>
    </row>
    <row r="22" spans="1:5" x14ac:dyDescent="0.25">
      <c r="A22" s="6"/>
      <c r="B22" s="343" t="s">
        <v>17</v>
      </c>
      <c r="C22" s="343"/>
      <c r="D22" s="343"/>
      <c r="E22" s="344"/>
    </row>
    <row r="24" spans="1:5" ht="23.25" x14ac:dyDescent="0.35">
      <c r="A24" s="312" t="s">
        <v>177</v>
      </c>
      <c r="B24" s="312"/>
      <c r="C24" s="312"/>
      <c r="D24" s="312"/>
      <c r="E24" s="312"/>
    </row>
    <row r="25" spans="1:5" x14ac:dyDescent="0.25">
      <c r="A25" s="345" t="s">
        <v>18</v>
      </c>
      <c r="B25" s="345"/>
      <c r="C25" s="345"/>
      <c r="D25" s="345"/>
      <c r="E25" s="345"/>
    </row>
    <row r="26" spans="1:5" x14ac:dyDescent="0.25">
      <c r="A26" s="310" t="s">
        <v>19</v>
      </c>
      <c r="B26" s="310"/>
      <c r="C26" s="310"/>
      <c r="D26" s="310"/>
      <c r="E26" s="310"/>
    </row>
    <row r="27" spans="1:5" x14ac:dyDescent="0.25">
      <c r="A27" s="311" t="s">
        <v>20</v>
      </c>
      <c r="B27" s="311"/>
      <c r="C27" s="311"/>
      <c r="D27" s="311"/>
      <c r="E27" s="311"/>
    </row>
    <row r="28" spans="1:5" x14ac:dyDescent="0.25">
      <c r="A28" s="27">
        <v>1</v>
      </c>
      <c r="B28" s="311" t="s">
        <v>21</v>
      </c>
      <c r="C28" s="311"/>
      <c r="D28" s="311"/>
      <c r="E28" s="97" t="s">
        <v>163</v>
      </c>
    </row>
    <row r="29" spans="1:5" x14ac:dyDescent="0.25">
      <c r="A29" s="27">
        <v>2</v>
      </c>
      <c r="B29" s="311" t="s">
        <v>22</v>
      </c>
      <c r="C29" s="311"/>
      <c r="D29" s="311"/>
      <c r="E29" s="98">
        <v>1869</v>
      </c>
    </row>
    <row r="30" spans="1:5" x14ac:dyDescent="0.25">
      <c r="A30" s="27">
        <v>3</v>
      </c>
      <c r="B30" s="311" t="s">
        <v>23</v>
      </c>
      <c r="C30" s="311"/>
      <c r="D30" s="311"/>
      <c r="E30" s="97" t="s">
        <v>164</v>
      </c>
    </row>
    <row r="31" spans="1:5" x14ac:dyDescent="0.25">
      <c r="A31" s="27">
        <v>4</v>
      </c>
      <c r="B31" s="311" t="s">
        <v>24</v>
      </c>
      <c r="C31" s="311"/>
      <c r="D31" s="311"/>
      <c r="E31" s="99">
        <v>43831</v>
      </c>
    </row>
    <row r="32" spans="1:5" x14ac:dyDescent="0.25">
      <c r="A32" s="34" t="s">
        <v>27</v>
      </c>
      <c r="B32" s="346" t="s">
        <v>28</v>
      </c>
      <c r="C32" s="346"/>
      <c r="D32" s="346"/>
      <c r="E32" s="347"/>
    </row>
    <row r="33" spans="1:5" x14ac:dyDescent="0.25">
      <c r="A33" s="345" t="s">
        <v>29</v>
      </c>
      <c r="B33" s="345"/>
      <c r="C33" s="345" t="s">
        <v>30</v>
      </c>
      <c r="D33" s="345"/>
      <c r="E33" s="345"/>
    </row>
    <row r="34" spans="1:5" x14ac:dyDescent="0.25">
      <c r="A34" s="28">
        <v>1</v>
      </c>
      <c r="B34" s="310" t="s">
        <v>35</v>
      </c>
      <c r="C34" s="310"/>
      <c r="D34" s="310"/>
      <c r="E34" s="28" t="s">
        <v>41</v>
      </c>
    </row>
    <row r="35" spans="1:5" x14ac:dyDescent="0.25">
      <c r="A35" s="36" t="s">
        <v>3</v>
      </c>
      <c r="B35" s="348" t="s">
        <v>36</v>
      </c>
      <c r="C35" s="348"/>
      <c r="D35" s="348"/>
      <c r="E35" s="84">
        <v>3738</v>
      </c>
    </row>
    <row r="36" spans="1:5" x14ac:dyDescent="0.25">
      <c r="A36" s="36" t="s">
        <v>4</v>
      </c>
      <c r="B36" s="348" t="s">
        <v>38</v>
      </c>
      <c r="C36" s="348"/>
      <c r="D36" s="348"/>
      <c r="E36" s="71">
        <v>0</v>
      </c>
    </row>
    <row r="37" spans="1:5" x14ac:dyDescent="0.25">
      <c r="A37" s="349" t="s">
        <v>5</v>
      </c>
      <c r="B37" s="351" t="s">
        <v>37</v>
      </c>
      <c r="C37" s="49" t="s">
        <v>147</v>
      </c>
      <c r="D37" s="75">
        <v>3738</v>
      </c>
      <c r="E37" s="353">
        <f>D37*D38</f>
        <v>0</v>
      </c>
    </row>
    <row r="38" spans="1:5" x14ac:dyDescent="0.25">
      <c r="A38" s="350"/>
      <c r="B38" s="352"/>
      <c r="C38" s="52" t="s">
        <v>148</v>
      </c>
      <c r="D38" s="41">
        <v>0</v>
      </c>
      <c r="E38" s="354"/>
    </row>
    <row r="39" spans="1:5" x14ac:dyDescent="0.25">
      <c r="A39" s="310" t="s">
        <v>40</v>
      </c>
      <c r="B39" s="310"/>
      <c r="C39" s="310"/>
      <c r="D39" s="310"/>
      <c r="E39" s="3">
        <f>SUM(E35:E38)</f>
        <v>3738</v>
      </c>
    </row>
    <row r="40" spans="1:5" x14ac:dyDescent="0.25">
      <c r="A40" s="345" t="s">
        <v>42</v>
      </c>
      <c r="B40" s="345"/>
      <c r="C40" s="345" t="s">
        <v>43</v>
      </c>
      <c r="D40" s="345"/>
      <c r="E40" s="345"/>
    </row>
    <row r="41" spans="1:5" x14ac:dyDescent="0.25">
      <c r="A41" s="28">
        <v>2</v>
      </c>
      <c r="B41" s="310" t="s">
        <v>44</v>
      </c>
      <c r="C41" s="310"/>
      <c r="D41" s="310"/>
      <c r="E41" s="28"/>
    </row>
    <row r="42" spans="1:5" x14ac:dyDescent="0.25">
      <c r="A42" s="355" t="s">
        <v>3</v>
      </c>
      <c r="B42" s="358" t="s">
        <v>45</v>
      </c>
      <c r="C42" s="7" t="s">
        <v>131</v>
      </c>
      <c r="D42" s="62">
        <v>3738</v>
      </c>
      <c r="E42" s="361">
        <f>IF(D43&gt;0,(D43*D44-(D42*6%)),0)</f>
        <v>0</v>
      </c>
    </row>
    <row r="43" spans="1:5" x14ac:dyDescent="0.25">
      <c r="A43" s="356"/>
      <c r="B43" s="359"/>
      <c r="C43" s="7" t="s">
        <v>132</v>
      </c>
      <c r="D43" s="73">
        <v>0</v>
      </c>
      <c r="E43" s="361"/>
    </row>
    <row r="44" spans="1:5" x14ac:dyDescent="0.25">
      <c r="A44" s="357"/>
      <c r="B44" s="360"/>
      <c r="C44" s="7" t="s">
        <v>130</v>
      </c>
      <c r="D44" s="74">
        <v>0</v>
      </c>
      <c r="E44" s="361"/>
    </row>
    <row r="45" spans="1:5" x14ac:dyDescent="0.25">
      <c r="A45" s="355" t="s">
        <v>4</v>
      </c>
      <c r="B45" s="362" t="s">
        <v>46</v>
      </c>
      <c r="C45" s="7" t="s">
        <v>149</v>
      </c>
      <c r="D45" s="66">
        <v>14</v>
      </c>
      <c r="E45" s="365">
        <f>ROUND((D45*D46)-((D45*D46)*D47),2)</f>
        <v>286.44</v>
      </c>
    </row>
    <row r="46" spans="1:5" x14ac:dyDescent="0.25">
      <c r="A46" s="356"/>
      <c r="B46" s="363"/>
      <c r="C46" s="7" t="s">
        <v>150</v>
      </c>
      <c r="D46" s="55">
        <v>22</v>
      </c>
      <c r="E46" s="366"/>
    </row>
    <row r="47" spans="1:5" x14ac:dyDescent="0.25">
      <c r="A47" s="357"/>
      <c r="B47" s="364"/>
      <c r="C47" s="68" t="s">
        <v>133</v>
      </c>
      <c r="D47" s="42">
        <v>7.0000000000000007E-2</v>
      </c>
      <c r="E47" s="367"/>
    </row>
    <row r="48" spans="1:5" x14ac:dyDescent="0.25">
      <c r="A48" s="27" t="s">
        <v>5</v>
      </c>
      <c r="B48" s="368" t="s">
        <v>47</v>
      </c>
      <c r="C48" s="368"/>
      <c r="D48" s="368"/>
      <c r="E48" s="100">
        <v>0</v>
      </c>
    </row>
    <row r="49" spans="1:6" x14ac:dyDescent="0.25">
      <c r="A49" s="27" t="s">
        <v>6</v>
      </c>
      <c r="B49" s="368"/>
      <c r="C49" s="368"/>
      <c r="D49" s="368"/>
      <c r="E49" s="100"/>
    </row>
    <row r="50" spans="1:6" x14ac:dyDescent="0.25">
      <c r="A50" s="27" t="s">
        <v>31</v>
      </c>
      <c r="B50" s="368" t="s">
        <v>154</v>
      </c>
      <c r="C50" s="368"/>
      <c r="D50" s="368"/>
      <c r="E50" s="100">
        <v>0</v>
      </c>
    </row>
    <row r="51" spans="1:6" x14ac:dyDescent="0.25">
      <c r="A51" s="369" t="s">
        <v>32</v>
      </c>
      <c r="B51" s="370" t="s">
        <v>39</v>
      </c>
      <c r="C51" s="373"/>
      <c r="D51" s="373"/>
      <c r="E51" s="43"/>
    </row>
    <row r="52" spans="1:6" x14ac:dyDescent="0.25">
      <c r="A52" s="369"/>
      <c r="B52" s="371"/>
      <c r="C52" s="373"/>
      <c r="D52" s="373"/>
      <c r="E52" s="43"/>
    </row>
    <row r="53" spans="1:6" x14ac:dyDescent="0.25">
      <c r="A53" s="369"/>
      <c r="B53" s="372"/>
      <c r="C53" s="373"/>
      <c r="D53" s="373"/>
      <c r="E53" s="43"/>
    </row>
    <row r="54" spans="1:6" x14ac:dyDescent="0.25">
      <c r="A54" s="310" t="s">
        <v>48</v>
      </c>
      <c r="B54" s="310"/>
      <c r="C54" s="310"/>
      <c r="D54" s="310"/>
      <c r="E54" s="3">
        <f>SUM(E42:E53)</f>
        <v>286.44</v>
      </c>
    </row>
    <row r="55" spans="1:6" x14ac:dyDescent="0.25">
      <c r="A55" s="8" t="s">
        <v>27</v>
      </c>
      <c r="B55" s="374" t="s">
        <v>49</v>
      </c>
      <c r="C55" s="374"/>
      <c r="D55" s="374"/>
      <c r="E55" s="375"/>
    </row>
    <row r="56" spans="1:6" x14ac:dyDescent="0.25">
      <c r="A56" s="6"/>
      <c r="B56" s="343" t="s">
        <v>50</v>
      </c>
      <c r="C56" s="343"/>
      <c r="D56" s="343"/>
      <c r="E56" s="344"/>
    </row>
    <row r="58" spans="1:6" x14ac:dyDescent="0.25">
      <c r="A58" s="345" t="s">
        <v>51</v>
      </c>
      <c r="B58" s="345"/>
      <c r="C58" s="345" t="s">
        <v>187</v>
      </c>
      <c r="D58" s="345"/>
      <c r="E58" s="345"/>
    </row>
    <row r="59" spans="1:6" x14ac:dyDescent="0.25">
      <c r="A59" s="28">
        <v>3</v>
      </c>
      <c r="B59" s="310" t="s">
        <v>53</v>
      </c>
      <c r="C59" s="310"/>
      <c r="D59" s="310"/>
      <c r="E59" s="28" t="s">
        <v>41</v>
      </c>
    </row>
    <row r="60" spans="1:6" x14ac:dyDescent="0.25">
      <c r="A60" s="355" t="s">
        <v>3</v>
      </c>
      <c r="B60" s="376" t="s">
        <v>165</v>
      </c>
      <c r="C60" s="87" t="s">
        <v>167</v>
      </c>
      <c r="D60" s="87" t="s">
        <v>166</v>
      </c>
      <c r="E60" s="378">
        <f>(D17/C61)*D61</f>
        <v>7727.7199999999993</v>
      </c>
    </row>
    <row r="61" spans="1:6" x14ac:dyDescent="0.25">
      <c r="A61" s="357"/>
      <c r="B61" s="377"/>
      <c r="C61" s="103">
        <v>3</v>
      </c>
      <c r="D61" s="104">
        <v>3.9</v>
      </c>
      <c r="E61" s="379"/>
      <c r="F61" s="92"/>
    </row>
    <row r="62" spans="1:6" x14ac:dyDescent="0.25">
      <c r="A62" s="15" t="s">
        <v>4</v>
      </c>
      <c r="B62" s="83" t="s">
        <v>168</v>
      </c>
      <c r="C62" s="88" t="s">
        <v>169</v>
      </c>
      <c r="D62" s="105">
        <v>1000</v>
      </c>
      <c r="E62" s="85">
        <f>D62/12</f>
        <v>83.333333333333329</v>
      </c>
    </row>
    <row r="63" spans="1:6" x14ac:dyDescent="0.25">
      <c r="A63" s="369" t="s">
        <v>5</v>
      </c>
      <c r="B63" s="380" t="s">
        <v>170</v>
      </c>
      <c r="C63" s="88" t="s">
        <v>171</v>
      </c>
      <c r="D63" s="87" t="s">
        <v>184</v>
      </c>
      <c r="E63" s="381">
        <f>D64/12</f>
        <v>1166.6666666666667</v>
      </c>
    </row>
    <row r="64" spans="1:6" ht="15" customHeight="1" x14ac:dyDescent="0.25">
      <c r="A64" s="369"/>
      <c r="B64" s="380"/>
      <c r="C64" s="106">
        <v>200000</v>
      </c>
      <c r="D64" s="86">
        <f>C64*7%</f>
        <v>14000.000000000002</v>
      </c>
      <c r="E64" s="382"/>
    </row>
    <row r="65" spans="1:6" ht="15" customHeight="1" x14ac:dyDescent="0.25">
      <c r="A65" s="355" t="s">
        <v>6</v>
      </c>
      <c r="B65" s="416" t="s">
        <v>172</v>
      </c>
      <c r="C65" s="89" t="s">
        <v>147</v>
      </c>
      <c r="D65" s="91" t="s">
        <v>68</v>
      </c>
      <c r="E65" s="381">
        <f>C66*D66</f>
        <v>3863.8599999999997</v>
      </c>
    </row>
    <row r="66" spans="1:6" ht="15" customHeight="1" x14ac:dyDescent="0.25">
      <c r="A66" s="357"/>
      <c r="B66" s="417"/>
      <c r="C66" s="90">
        <f>E60</f>
        <v>7727.7199999999993</v>
      </c>
      <c r="D66" s="101">
        <v>0.5</v>
      </c>
      <c r="E66" s="382"/>
      <c r="F66" s="92"/>
    </row>
    <row r="67" spans="1:6" x14ac:dyDescent="0.25">
      <c r="A67" s="310" t="s">
        <v>55</v>
      </c>
      <c r="B67" s="310"/>
      <c r="C67" s="310"/>
      <c r="D67" s="310"/>
      <c r="E67" s="3">
        <f>SUM(E60:E66)</f>
        <v>12841.579999999998</v>
      </c>
    </row>
    <row r="68" spans="1:6" x14ac:dyDescent="0.25">
      <c r="A68" s="29" t="s">
        <v>27</v>
      </c>
      <c r="B68" s="346" t="s">
        <v>188</v>
      </c>
      <c r="C68" s="346"/>
      <c r="D68" s="346"/>
      <c r="E68" s="347"/>
    </row>
    <row r="70" spans="1:6" x14ac:dyDescent="0.25">
      <c r="A70" s="345" t="s">
        <v>56</v>
      </c>
      <c r="B70" s="345"/>
      <c r="C70" s="345" t="s">
        <v>57</v>
      </c>
      <c r="D70" s="345"/>
      <c r="E70" s="345"/>
    </row>
    <row r="71" spans="1:6" x14ac:dyDescent="0.25">
      <c r="A71" s="383" t="s">
        <v>58</v>
      </c>
      <c r="B71" s="384"/>
      <c r="C71" s="383" t="s">
        <v>59</v>
      </c>
      <c r="D71" s="385"/>
      <c r="E71" s="384"/>
    </row>
    <row r="72" spans="1:6" x14ac:dyDescent="0.25">
      <c r="A72" s="28" t="s">
        <v>60</v>
      </c>
      <c r="B72" s="310" t="s">
        <v>59</v>
      </c>
      <c r="C72" s="310"/>
      <c r="D72" s="28" t="s">
        <v>68</v>
      </c>
      <c r="E72" s="28" t="s">
        <v>41</v>
      </c>
    </row>
    <row r="73" spans="1:6" x14ac:dyDescent="0.25">
      <c r="A73" s="27" t="s">
        <v>3</v>
      </c>
      <c r="B73" s="311" t="s">
        <v>61</v>
      </c>
      <c r="C73" s="311"/>
      <c r="D73" s="9">
        <f>IF(D9=1,20%,IF(D9=2,20%,IF(D9=3,0%,IF(D9=4,20%,"RT Indefinido"))))</f>
        <v>0.2</v>
      </c>
      <c r="E73" s="22">
        <f>ROUND(E39*D73,2)</f>
        <v>747.6</v>
      </c>
    </row>
    <row r="74" spans="1:6" x14ac:dyDescent="0.25">
      <c r="A74" s="27" t="s">
        <v>4</v>
      </c>
      <c r="B74" s="311" t="s">
        <v>62</v>
      </c>
      <c r="C74" s="311"/>
      <c r="D74" s="9">
        <f>IF(D9=1,1.5%,IF(D9=2,1.5%,IF(D9=3,0%,IF(D9=4,0%,"RT Indefinido"))))</f>
        <v>0</v>
      </c>
      <c r="E74" s="22">
        <f>ROUND(E39*D74,2)</f>
        <v>0</v>
      </c>
    </row>
    <row r="75" spans="1:6" x14ac:dyDescent="0.25">
      <c r="A75" s="27" t="s">
        <v>5</v>
      </c>
      <c r="B75" s="311" t="s">
        <v>63</v>
      </c>
      <c r="C75" s="311"/>
      <c r="D75" s="9">
        <f>IF(D9=1,1%,IF(D9=2,1%,IF(D9=3,0%,IF(D9=4,0%,"RT Indefinido"))))</f>
        <v>0</v>
      </c>
      <c r="E75" s="22">
        <f>ROUND(E39*D75,2)</f>
        <v>0</v>
      </c>
    </row>
    <row r="76" spans="1:6" x14ac:dyDescent="0.25">
      <c r="A76" s="27" t="s">
        <v>6</v>
      </c>
      <c r="B76" s="386" t="s">
        <v>64</v>
      </c>
      <c r="C76" s="386"/>
      <c r="D76" s="94">
        <f>IF(D9=1,0.2%,IF(D9=2,0.2%,IF(D9=3,0%,IF(D9=4,0%,"RT Indefinido"))))</f>
        <v>0</v>
      </c>
      <c r="E76" s="95">
        <f>ROUND(E39*D76,2)</f>
        <v>0</v>
      </c>
    </row>
    <row r="77" spans="1:6" x14ac:dyDescent="0.25">
      <c r="A77" s="27" t="s">
        <v>31</v>
      </c>
      <c r="B77" s="311" t="s">
        <v>65</v>
      </c>
      <c r="C77" s="311"/>
      <c r="D77" s="9">
        <f>IF(D9=1,2.5%,IF(D9=2,2.5%,IF(D9=3,0%,IF(D9=4,0%,"RT Indefinido"))))</f>
        <v>0</v>
      </c>
      <c r="E77" s="22">
        <f>ROUND(E39*D77,2)</f>
        <v>0</v>
      </c>
    </row>
    <row r="78" spans="1:6" x14ac:dyDescent="0.25">
      <c r="A78" s="27" t="s">
        <v>32</v>
      </c>
      <c r="B78" s="387" t="s">
        <v>66</v>
      </c>
      <c r="C78" s="387"/>
      <c r="D78" s="9">
        <f>IF(D9=1,8%,IF(D9=2,8%,IF(D9=3,8%,IF(D9=4,8%,"RT Indefinido"))))</f>
        <v>0.08</v>
      </c>
      <c r="E78" s="22">
        <f>ROUND(E39*D78,2)</f>
        <v>299.04000000000002</v>
      </c>
    </row>
    <row r="79" spans="1:6" x14ac:dyDescent="0.25">
      <c r="A79" s="27" t="s">
        <v>33</v>
      </c>
      <c r="B79" s="388" t="s">
        <v>143</v>
      </c>
      <c r="C79" s="388"/>
      <c r="D79" s="96">
        <v>0.03</v>
      </c>
      <c r="E79" s="63">
        <f>ROUND(E39*D79,2)</f>
        <v>112.14</v>
      </c>
    </row>
    <row r="80" spans="1:6" x14ac:dyDescent="0.25">
      <c r="A80" s="27" t="s">
        <v>34</v>
      </c>
      <c r="B80" s="387" t="s">
        <v>67</v>
      </c>
      <c r="C80" s="387"/>
      <c r="D80" s="9">
        <f>IF(D9=1,0.6%,IF(D9=2,0.6%,IF(D9=3,0%,IF(D9=4,0%,"RT Indefinido"))))</f>
        <v>0</v>
      </c>
      <c r="E80" s="22">
        <f>ROUND(E39*D80,2)</f>
        <v>0</v>
      </c>
    </row>
    <row r="81" spans="1:7" x14ac:dyDescent="0.25">
      <c r="A81" s="310" t="s">
        <v>77</v>
      </c>
      <c r="B81" s="310"/>
      <c r="C81" s="310"/>
      <c r="D81" s="11">
        <f>SUM(D73:D80)</f>
        <v>0.31000000000000005</v>
      </c>
      <c r="E81" s="3">
        <f>ROUND(SUM(E73:E80),2)</f>
        <v>1158.78</v>
      </c>
    </row>
    <row r="82" spans="1:7" x14ac:dyDescent="0.25">
      <c r="A82" s="8" t="s">
        <v>25</v>
      </c>
      <c r="B82" s="389" t="s">
        <v>69</v>
      </c>
      <c r="C82" s="389"/>
      <c r="D82" s="389"/>
      <c r="E82" s="390"/>
    </row>
    <row r="83" spans="1:7" x14ac:dyDescent="0.25">
      <c r="A83" s="12" t="s">
        <v>26</v>
      </c>
      <c r="B83" s="343" t="s">
        <v>70</v>
      </c>
      <c r="C83" s="343"/>
      <c r="D83" s="343"/>
      <c r="E83" s="344"/>
    </row>
    <row r="85" spans="1:7" x14ac:dyDescent="0.25">
      <c r="A85" s="383" t="s">
        <v>71</v>
      </c>
      <c r="B85" s="384"/>
      <c r="C85" s="383" t="s">
        <v>72</v>
      </c>
      <c r="D85" s="385"/>
      <c r="E85" s="384"/>
    </row>
    <row r="86" spans="1:7" x14ac:dyDescent="0.25">
      <c r="A86" s="28" t="s">
        <v>78</v>
      </c>
      <c r="B86" s="310" t="s">
        <v>72</v>
      </c>
      <c r="C86" s="310"/>
      <c r="D86" s="28" t="s">
        <v>68</v>
      </c>
      <c r="E86" s="28" t="s">
        <v>41</v>
      </c>
    </row>
    <row r="87" spans="1:7" x14ac:dyDescent="0.25">
      <c r="A87" s="27" t="s">
        <v>3</v>
      </c>
      <c r="B87" s="311" t="s">
        <v>73</v>
      </c>
      <c r="C87" s="311"/>
      <c r="D87" s="9">
        <f>100/12/100</f>
        <v>8.3333333333333343E-2</v>
      </c>
      <c r="E87" s="22">
        <f>ROUND(E39*D87,2)</f>
        <v>311.5</v>
      </c>
    </row>
    <row r="88" spans="1:7" x14ac:dyDescent="0.25">
      <c r="A88" s="27" t="s">
        <v>4</v>
      </c>
      <c r="B88" s="311" t="s">
        <v>74</v>
      </c>
      <c r="C88" s="311"/>
      <c r="D88" s="9">
        <f>100/12/100/3</f>
        <v>2.777777777777778E-2</v>
      </c>
      <c r="E88" s="22">
        <f>ROUND(E39*D88,2)</f>
        <v>103.83</v>
      </c>
    </row>
    <row r="89" spans="1:7" x14ac:dyDescent="0.25">
      <c r="A89" s="303" t="s">
        <v>75</v>
      </c>
      <c r="B89" s="304"/>
      <c r="C89" s="391"/>
      <c r="D89" s="13">
        <f>SUM(D87+D88)</f>
        <v>0.11111111111111112</v>
      </c>
      <c r="E89" s="14">
        <f>ROUND(SUM(E87+E88),2)</f>
        <v>415.33</v>
      </c>
    </row>
    <row r="90" spans="1:7" x14ac:dyDescent="0.25">
      <c r="A90" s="355" t="s">
        <v>5</v>
      </c>
      <c r="B90" s="392" t="s">
        <v>76</v>
      </c>
      <c r="C90" s="393"/>
      <c r="D90" s="396">
        <f>ROUND((E90*D89)/E89,4)</f>
        <v>3.44E-2</v>
      </c>
      <c r="E90" s="398">
        <f>ROUND(E89*D81,2)</f>
        <v>128.75</v>
      </c>
    </row>
    <row r="91" spans="1:7" x14ac:dyDescent="0.25">
      <c r="A91" s="357"/>
      <c r="B91" s="394"/>
      <c r="C91" s="395"/>
      <c r="D91" s="397"/>
      <c r="E91" s="399"/>
    </row>
    <row r="92" spans="1:7" x14ac:dyDescent="0.25">
      <c r="A92" s="310" t="s">
        <v>77</v>
      </c>
      <c r="B92" s="310"/>
      <c r="C92" s="310"/>
      <c r="D92" s="11">
        <f>SUM(D89:D91)</f>
        <v>0.14551111111111112</v>
      </c>
      <c r="E92" s="3">
        <f>ROUND(SUM(E89:E91),2)</f>
        <v>544.08000000000004</v>
      </c>
    </row>
    <row r="94" spans="1:7" x14ac:dyDescent="0.25">
      <c r="A94" s="383" t="s">
        <v>79</v>
      </c>
      <c r="B94" s="384"/>
      <c r="C94" s="383" t="s">
        <v>81</v>
      </c>
      <c r="D94" s="385"/>
      <c r="E94" s="384"/>
      <c r="F94" s="308" t="s">
        <v>81</v>
      </c>
      <c r="G94" s="308"/>
    </row>
    <row r="95" spans="1:7" x14ac:dyDescent="0.25">
      <c r="A95" s="28" t="s">
        <v>80</v>
      </c>
      <c r="B95" s="310" t="s">
        <v>81</v>
      </c>
      <c r="C95" s="310"/>
      <c r="D95" s="28" t="s">
        <v>68</v>
      </c>
      <c r="E95" s="28" t="s">
        <v>41</v>
      </c>
      <c r="F95" s="77" t="s">
        <v>161</v>
      </c>
      <c r="G95" s="78" t="s">
        <v>173</v>
      </c>
    </row>
    <row r="96" spans="1:7" x14ac:dyDescent="0.25">
      <c r="A96" s="27" t="s">
        <v>3</v>
      </c>
      <c r="B96" s="311" t="s">
        <v>81</v>
      </c>
      <c r="C96" s="311"/>
      <c r="D96" s="16">
        <f>(E96)/E39</f>
        <v>0</v>
      </c>
      <c r="E96" s="79">
        <f>IF(G95="S",(((1+1/3)*(4/12))*(E39))/12*2%,IF(G95="N",0,"INFORME S ou N"))</f>
        <v>0</v>
      </c>
    </row>
    <row r="97" spans="1:7" x14ac:dyDescent="0.25">
      <c r="A97" s="355" t="s">
        <v>4</v>
      </c>
      <c r="B97" s="392" t="s">
        <v>82</v>
      </c>
      <c r="C97" s="393"/>
      <c r="D97" s="396">
        <f>IF(G95="S",(ROUND((E97*D96)/E96,4)),0)</f>
        <v>0</v>
      </c>
      <c r="E97" s="398">
        <f>ROUND(D81*E96,2)</f>
        <v>0</v>
      </c>
    </row>
    <row r="98" spans="1:7" x14ac:dyDescent="0.25">
      <c r="A98" s="357"/>
      <c r="B98" s="394"/>
      <c r="C98" s="395"/>
      <c r="D98" s="397"/>
      <c r="E98" s="399"/>
    </row>
    <row r="99" spans="1:7" x14ac:dyDescent="0.25">
      <c r="A99" s="310" t="s">
        <v>77</v>
      </c>
      <c r="B99" s="310"/>
      <c r="C99" s="310"/>
      <c r="D99" s="11">
        <f>SUM(D96:D98)</f>
        <v>0</v>
      </c>
      <c r="E99" s="3">
        <f>ROUND(SUM(E96:E98),2)</f>
        <v>0</v>
      </c>
    </row>
    <row r="101" spans="1:7" x14ac:dyDescent="0.25">
      <c r="A101" s="383" t="s">
        <v>83</v>
      </c>
      <c r="B101" s="384"/>
      <c r="C101" s="383" t="s">
        <v>85</v>
      </c>
      <c r="D101" s="385"/>
      <c r="E101" s="384"/>
    </row>
    <row r="102" spans="1:7" x14ac:dyDescent="0.25">
      <c r="A102" s="28" t="s">
        <v>84</v>
      </c>
      <c r="B102" s="310" t="s">
        <v>85</v>
      </c>
      <c r="C102" s="310"/>
      <c r="D102" s="28" t="s">
        <v>68</v>
      </c>
      <c r="E102" s="28" t="s">
        <v>41</v>
      </c>
    </row>
    <row r="103" spans="1:7" x14ac:dyDescent="0.25">
      <c r="A103" s="27" t="s">
        <v>3</v>
      </c>
      <c r="B103" s="311" t="s">
        <v>91</v>
      </c>
      <c r="C103" s="311"/>
      <c r="D103" s="16">
        <f>ROUND(E103/E39,4)</f>
        <v>4.1999999999999997E-3</v>
      </c>
      <c r="E103" s="22">
        <f>ROUND((E39/12)*5/100,2)</f>
        <v>15.58</v>
      </c>
    </row>
    <row r="104" spans="1:7" x14ac:dyDescent="0.25">
      <c r="A104" s="15" t="s">
        <v>4</v>
      </c>
      <c r="B104" s="400" t="s">
        <v>144</v>
      </c>
      <c r="C104" s="401"/>
      <c r="D104" s="23">
        <f>ROUND(E104/E39,4)</f>
        <v>2.9999999999999997E-4</v>
      </c>
      <c r="E104" s="59">
        <f>ROUND(E103*0.08,2)</f>
        <v>1.25</v>
      </c>
    </row>
    <row r="105" spans="1:7" x14ac:dyDescent="0.25">
      <c r="A105" s="27" t="s">
        <v>5</v>
      </c>
      <c r="B105" s="311" t="s">
        <v>92</v>
      </c>
      <c r="C105" s="311"/>
      <c r="D105" s="16">
        <f>ROUND(E105/E39,4)</f>
        <v>2.3999999999999998E-3</v>
      </c>
      <c r="E105" s="22">
        <f>ROUND((((E39*0.08)*0.5)*0.06),2)</f>
        <v>8.9700000000000006</v>
      </c>
    </row>
    <row r="106" spans="1:7" x14ac:dyDescent="0.25">
      <c r="A106" s="27" t="s">
        <v>6</v>
      </c>
      <c r="B106" s="311" t="s">
        <v>93</v>
      </c>
      <c r="C106" s="311"/>
      <c r="D106" s="16">
        <f>ROUND(E106/E39,4)</f>
        <v>2.3300000000000001E-2</v>
      </c>
      <c r="E106" s="58">
        <f>ROUND(((E39/30)*7)/E14,2)</f>
        <v>87.22</v>
      </c>
    </row>
    <row r="107" spans="1:7" x14ac:dyDescent="0.25">
      <c r="A107" s="15" t="s">
        <v>31</v>
      </c>
      <c r="B107" s="400" t="s">
        <v>94</v>
      </c>
      <c r="C107" s="401"/>
      <c r="D107" s="23">
        <f>ROUND(E107/E39,4)</f>
        <v>7.1999999999999998E-3</v>
      </c>
      <c r="E107" s="57">
        <f>ROUND(E106*D81,2)</f>
        <v>27.04</v>
      </c>
    </row>
    <row r="108" spans="1:7" x14ac:dyDescent="0.25">
      <c r="A108" s="35" t="s">
        <v>6</v>
      </c>
      <c r="B108" s="402" t="s">
        <v>146</v>
      </c>
      <c r="C108" s="403"/>
      <c r="D108" s="16">
        <f>ROUND(E108/E39,4)</f>
        <v>4.7600000000000003E-2</v>
      </c>
      <c r="E108" s="22">
        <f>ROUND((E39*0.08)*0.595,2)</f>
        <v>177.93</v>
      </c>
    </row>
    <row r="109" spans="1:7" x14ac:dyDescent="0.25">
      <c r="A109" s="310" t="s">
        <v>77</v>
      </c>
      <c r="B109" s="310"/>
      <c r="C109" s="310"/>
      <c r="D109" s="17">
        <f>ROUND(SUM(D103:D108),4)</f>
        <v>8.5000000000000006E-2</v>
      </c>
      <c r="E109" s="3">
        <f>ROUND(SUM(E103:E108),2)</f>
        <v>317.99</v>
      </c>
    </row>
    <row r="111" spans="1:7" x14ac:dyDescent="0.25">
      <c r="A111" s="383" t="s">
        <v>95</v>
      </c>
      <c r="B111" s="384"/>
      <c r="C111" s="383" t="s">
        <v>97</v>
      </c>
      <c r="D111" s="385"/>
      <c r="E111" s="384"/>
      <c r="F111" s="308" t="s">
        <v>88</v>
      </c>
      <c r="G111" s="308"/>
    </row>
    <row r="112" spans="1:7" x14ac:dyDescent="0.25">
      <c r="A112" s="30" t="s">
        <v>96</v>
      </c>
      <c r="B112" s="404" t="s">
        <v>98</v>
      </c>
      <c r="C112" s="405"/>
      <c r="D112" s="30" t="s">
        <v>68</v>
      </c>
      <c r="E112" s="30" t="s">
        <v>41</v>
      </c>
      <c r="F112" s="80" t="s">
        <v>161</v>
      </c>
      <c r="G112" s="81" t="s">
        <v>162</v>
      </c>
    </row>
    <row r="113" spans="1:5" x14ac:dyDescent="0.25">
      <c r="A113" s="27" t="s">
        <v>3</v>
      </c>
      <c r="B113" s="311" t="s">
        <v>86</v>
      </c>
      <c r="C113" s="311"/>
      <c r="D113" s="9">
        <f>(100/12/100)</f>
        <v>8.3333333333333343E-2</v>
      </c>
      <c r="E113" s="22">
        <f>ROUND(E39*D113,2)</f>
        <v>311.5</v>
      </c>
    </row>
    <row r="114" spans="1:5" x14ac:dyDescent="0.25">
      <c r="A114" s="15" t="s">
        <v>4</v>
      </c>
      <c r="B114" s="406" t="s">
        <v>87</v>
      </c>
      <c r="C114" s="407"/>
      <c r="D114" s="10">
        <f>E114/E39</f>
        <v>1.3889780631353665E-2</v>
      </c>
      <c r="E114" s="22">
        <f>ROUND(5/30*E39/12,2)</f>
        <v>51.92</v>
      </c>
    </row>
    <row r="115" spans="1:5" x14ac:dyDescent="0.25">
      <c r="A115" s="27" t="s">
        <v>5</v>
      </c>
      <c r="B115" s="311" t="s">
        <v>88</v>
      </c>
      <c r="C115" s="311"/>
      <c r="D115" s="9">
        <f>E115/E39</f>
        <v>2.0833333333333332E-4</v>
      </c>
      <c r="E115" s="82">
        <f>IF(G112="S",((((5/30)*(E39))/12)*0.015),IF(G112="N",0,"INFORME S ou N"))</f>
        <v>0.77874999999999994</v>
      </c>
    </row>
    <row r="116" spans="1:5" x14ac:dyDescent="0.25">
      <c r="A116" s="27" t="s">
        <v>6</v>
      </c>
      <c r="B116" s="311" t="s">
        <v>89</v>
      </c>
      <c r="C116" s="311"/>
      <c r="D116" s="9">
        <f>E116/E39</f>
        <v>2.7768860353130018E-3</v>
      </c>
      <c r="E116" s="22">
        <f>ROUND((1/30*E39)/12,2)</f>
        <v>10.38</v>
      </c>
    </row>
    <row r="117" spans="1:5" x14ac:dyDescent="0.25">
      <c r="A117" s="27" t="s">
        <v>31</v>
      </c>
      <c r="B117" s="327" t="s">
        <v>90</v>
      </c>
      <c r="C117" s="408"/>
      <c r="D117" s="9">
        <f>E117/E39</f>
        <v>3.2370251471375066E-4</v>
      </c>
      <c r="E117" s="22">
        <f>ROUND((((15/30)*E39)/12)*0.78%,2)</f>
        <v>1.21</v>
      </c>
    </row>
    <row r="118" spans="1:5" x14ac:dyDescent="0.25">
      <c r="A118" s="355" t="s">
        <v>32</v>
      </c>
      <c r="B118" s="409" t="s">
        <v>39</v>
      </c>
      <c r="C118" s="40"/>
      <c r="D118" s="48">
        <f>E118/E39</f>
        <v>0</v>
      </c>
      <c r="E118" s="76">
        <v>0</v>
      </c>
    </row>
    <row r="119" spans="1:5" x14ac:dyDescent="0.25">
      <c r="A119" s="357"/>
      <c r="B119" s="409"/>
      <c r="C119" s="2"/>
      <c r="D119" s="1">
        <v>0</v>
      </c>
      <c r="E119" s="65">
        <f>ROUND(E39*D119,2)</f>
        <v>0</v>
      </c>
    </row>
    <row r="120" spans="1:5" x14ac:dyDescent="0.25">
      <c r="A120" s="410" t="s">
        <v>75</v>
      </c>
      <c r="B120" s="411"/>
      <c r="C120" s="412"/>
      <c r="D120" s="18">
        <f>SUM(D113:D119)</f>
        <v>0.1005320358480471</v>
      </c>
      <c r="E120" s="14">
        <f>ROUND(SUM(E113:E119),2)</f>
        <v>375.79</v>
      </c>
    </row>
    <row r="121" spans="1:5" x14ac:dyDescent="0.25">
      <c r="A121" s="35" t="s">
        <v>33</v>
      </c>
      <c r="B121" s="400" t="s">
        <v>99</v>
      </c>
      <c r="C121" s="401"/>
      <c r="D121" s="23">
        <f>ROUND(E121/E39,4)</f>
        <v>3.1199999999999999E-2</v>
      </c>
      <c r="E121" s="57">
        <f>ROUND(E120*D81,2)</f>
        <v>116.49</v>
      </c>
    </row>
    <row r="122" spans="1:5" x14ac:dyDescent="0.25">
      <c r="A122" s="310" t="s">
        <v>77</v>
      </c>
      <c r="B122" s="310"/>
      <c r="C122" s="310"/>
      <c r="D122" s="17">
        <f>ROUND(D120+D121,4)</f>
        <v>0.13170000000000001</v>
      </c>
      <c r="E122" s="3">
        <f>ROUND(E120+E121,2)</f>
        <v>492.28</v>
      </c>
    </row>
    <row r="124" spans="1:5" x14ac:dyDescent="0.25">
      <c r="A124" s="383" t="s">
        <v>100</v>
      </c>
      <c r="B124" s="384"/>
      <c r="C124" s="383" t="s">
        <v>101</v>
      </c>
      <c r="D124" s="385"/>
      <c r="E124" s="384"/>
    </row>
    <row r="125" spans="1:5" x14ac:dyDescent="0.25">
      <c r="A125" s="30">
        <v>4</v>
      </c>
      <c r="B125" s="404" t="s">
        <v>102</v>
      </c>
      <c r="C125" s="405"/>
      <c r="D125" s="30" t="s">
        <v>68</v>
      </c>
      <c r="E125" s="30" t="s">
        <v>41</v>
      </c>
    </row>
    <row r="126" spans="1:5" x14ac:dyDescent="0.25">
      <c r="A126" s="27" t="s">
        <v>60</v>
      </c>
      <c r="B126" s="311" t="s">
        <v>59</v>
      </c>
      <c r="C126" s="311"/>
      <c r="D126" s="16">
        <f>D81</f>
        <v>0.31000000000000005</v>
      </c>
      <c r="E126" s="22">
        <f>E81</f>
        <v>1158.78</v>
      </c>
    </row>
    <row r="127" spans="1:5" x14ac:dyDescent="0.25">
      <c r="A127" s="15" t="s">
        <v>78</v>
      </c>
      <c r="B127" s="406" t="s">
        <v>72</v>
      </c>
      <c r="C127" s="407"/>
      <c r="D127" s="23">
        <f>D92</f>
        <v>0.14551111111111112</v>
      </c>
      <c r="E127" s="22">
        <f>E92</f>
        <v>544.08000000000004</v>
      </c>
    </row>
    <row r="128" spans="1:5" x14ac:dyDescent="0.25">
      <c r="A128" s="27" t="s">
        <v>80</v>
      </c>
      <c r="B128" s="311" t="s">
        <v>81</v>
      </c>
      <c r="C128" s="311"/>
      <c r="D128" s="16">
        <f>D99</f>
        <v>0</v>
      </c>
      <c r="E128" s="22">
        <f>E99</f>
        <v>0</v>
      </c>
    </row>
    <row r="129" spans="1:5" x14ac:dyDescent="0.25">
      <c r="A129" s="27" t="s">
        <v>84</v>
      </c>
      <c r="B129" s="311" t="s">
        <v>85</v>
      </c>
      <c r="C129" s="311"/>
      <c r="D129" s="16">
        <f>D109</f>
        <v>8.5000000000000006E-2</v>
      </c>
      <c r="E129" s="22">
        <f>E109</f>
        <v>317.99</v>
      </c>
    </row>
    <row r="130" spans="1:5" x14ac:dyDescent="0.25">
      <c r="A130" s="27" t="s">
        <v>96</v>
      </c>
      <c r="B130" s="327" t="s">
        <v>104</v>
      </c>
      <c r="C130" s="408"/>
      <c r="D130" s="16">
        <f>D122</f>
        <v>0.13170000000000001</v>
      </c>
      <c r="E130" s="22">
        <f>E122</f>
        <v>492.28</v>
      </c>
    </row>
    <row r="131" spans="1:5" x14ac:dyDescent="0.25">
      <c r="A131" s="355" t="s">
        <v>103</v>
      </c>
      <c r="B131" s="409" t="s">
        <v>39</v>
      </c>
      <c r="C131" s="40"/>
      <c r="D131" s="45">
        <v>0</v>
      </c>
      <c r="E131" s="65">
        <f>E54*D131</f>
        <v>0</v>
      </c>
    </row>
    <row r="132" spans="1:5" x14ac:dyDescent="0.25">
      <c r="A132" s="357"/>
      <c r="B132" s="409"/>
      <c r="C132" s="46"/>
      <c r="D132" s="47">
        <v>0</v>
      </c>
      <c r="E132" s="65">
        <f>E54*D132</f>
        <v>0</v>
      </c>
    </row>
    <row r="133" spans="1:5" x14ac:dyDescent="0.25">
      <c r="A133" s="310" t="s">
        <v>77</v>
      </c>
      <c r="B133" s="310"/>
      <c r="C133" s="310"/>
      <c r="D133" s="17">
        <f>SUM(D126:D132)</f>
        <v>0.6722111111111112</v>
      </c>
      <c r="E133" s="3">
        <f>ROUND(SUM(E126:E132),2)</f>
        <v>2513.13</v>
      </c>
    </row>
    <row r="135" spans="1:5" x14ac:dyDescent="0.25">
      <c r="A135" s="345" t="s">
        <v>105</v>
      </c>
      <c r="B135" s="345"/>
      <c r="C135" s="345" t="s">
        <v>106</v>
      </c>
      <c r="D135" s="345"/>
      <c r="E135" s="345"/>
    </row>
    <row r="136" spans="1:5" x14ac:dyDescent="0.25">
      <c r="A136" s="28">
        <v>5</v>
      </c>
      <c r="B136" s="310" t="s">
        <v>107</v>
      </c>
      <c r="C136" s="310"/>
      <c r="D136" s="28" t="s">
        <v>68</v>
      </c>
      <c r="E136" s="28" t="s">
        <v>41</v>
      </c>
    </row>
    <row r="137" spans="1:5" x14ac:dyDescent="0.25">
      <c r="A137" s="355" t="s">
        <v>3</v>
      </c>
      <c r="B137" s="413" t="s">
        <v>151</v>
      </c>
      <c r="C137" s="414"/>
      <c r="D137" s="415"/>
      <c r="E137" s="56">
        <f>E39+E54+E67+E133</f>
        <v>19379.149999999998</v>
      </c>
    </row>
    <row r="138" spans="1:5" x14ac:dyDescent="0.25">
      <c r="A138" s="357"/>
      <c r="B138" s="311" t="s">
        <v>108</v>
      </c>
      <c r="C138" s="311"/>
      <c r="D138" s="60">
        <v>5.8999999999999997E-2</v>
      </c>
      <c r="E138" s="24">
        <f>E137*D138</f>
        <v>1143.3698499999998</v>
      </c>
    </row>
    <row r="139" spans="1:5" x14ac:dyDescent="0.25">
      <c r="A139" s="418" t="s">
        <v>4</v>
      </c>
      <c r="B139" s="421" t="s">
        <v>109</v>
      </c>
      <c r="C139" s="422"/>
      <c r="D139" s="422"/>
      <c r="E139" s="423"/>
    </row>
    <row r="140" spans="1:5" x14ac:dyDescent="0.25">
      <c r="A140" s="419"/>
      <c r="B140" s="424" t="s">
        <v>110</v>
      </c>
      <c r="C140" s="7" t="s">
        <v>141</v>
      </c>
      <c r="D140" s="9">
        <v>0</v>
      </c>
      <c r="E140" s="24">
        <f>ROUND((E164+E138+E152)/(1-D150)*D140,2)</f>
        <v>0</v>
      </c>
    </row>
    <row r="141" spans="1:5" x14ac:dyDescent="0.25">
      <c r="A141" s="419"/>
      <c r="B141" s="425"/>
      <c r="C141" s="7" t="s">
        <v>112</v>
      </c>
      <c r="D141" s="9">
        <v>0</v>
      </c>
      <c r="E141" s="24">
        <f>ROUND((E164+E138+E152)/(1-D150)*D141,2)</f>
        <v>0</v>
      </c>
    </row>
    <row r="142" spans="1:5" x14ac:dyDescent="0.25">
      <c r="A142" s="419"/>
      <c r="B142" s="425"/>
      <c r="C142" s="7" t="s">
        <v>111</v>
      </c>
      <c r="D142" s="9">
        <f>IF(D9=1,7.6%,IF(D9=2,3%,IF(D9=3,C172,IF(D9=4,C172,"RT Indefinido"))))</f>
        <v>0</v>
      </c>
      <c r="E142" s="24">
        <f>ROUND((E164+E138+E152)/(1-D150)*D142,2)</f>
        <v>0</v>
      </c>
    </row>
    <row r="143" spans="1:5" x14ac:dyDescent="0.25">
      <c r="A143" s="419"/>
      <c r="B143" s="426"/>
      <c r="C143" s="19" t="s">
        <v>113</v>
      </c>
      <c r="D143" s="9">
        <f>IF(D9=1,1.65%,IF(D9=2,0.65%,IF(D9=3,C173,IF(D9=4,C173,"RT Indefinido"))))</f>
        <v>0</v>
      </c>
      <c r="E143" s="24">
        <f>ROUND((E164+E138+E152)/(1-D150)*D143,2)</f>
        <v>0</v>
      </c>
    </row>
    <row r="144" spans="1:5" x14ac:dyDescent="0.25">
      <c r="A144" s="419"/>
      <c r="B144" s="409" t="s">
        <v>114</v>
      </c>
      <c r="C144" s="19"/>
      <c r="D144" s="10">
        <v>0</v>
      </c>
      <c r="E144" s="24">
        <f>ROUND((E164+E138+E152)/(1-D150)*D144,2)</f>
        <v>0</v>
      </c>
    </row>
    <row r="145" spans="1:6" x14ac:dyDescent="0.25">
      <c r="A145" s="419"/>
      <c r="B145" s="409"/>
      <c r="C145" s="19"/>
      <c r="D145" s="10">
        <v>0</v>
      </c>
      <c r="E145" s="24">
        <f>ROUND((E164+E141+E152)/(1-D150)*D145,2)</f>
        <v>0</v>
      </c>
    </row>
    <row r="146" spans="1:6" x14ac:dyDescent="0.25">
      <c r="A146" s="419"/>
      <c r="B146" s="427" t="s">
        <v>115</v>
      </c>
      <c r="C146" s="19" t="s">
        <v>116</v>
      </c>
      <c r="D146" s="44">
        <v>0.03</v>
      </c>
      <c r="E146" s="24">
        <f>ROUND((E164+E138+E152)/(1-D150)*D146,2)</f>
        <v>825.13</v>
      </c>
    </row>
    <row r="147" spans="1:6" x14ac:dyDescent="0.25">
      <c r="A147" s="419"/>
      <c r="B147" s="427"/>
      <c r="C147" s="19"/>
      <c r="D147" s="10">
        <v>0</v>
      </c>
      <c r="E147" s="24">
        <f>ROUND((E164+E138+E152)/(1-D161)*D147,2)</f>
        <v>0</v>
      </c>
    </row>
    <row r="148" spans="1:6" x14ac:dyDescent="0.25">
      <c r="A148" s="419"/>
      <c r="B148" s="428" t="s">
        <v>117</v>
      </c>
      <c r="C148" s="19" t="s">
        <v>142</v>
      </c>
      <c r="D148" s="10">
        <f>IF(D9=3,C174,0%)</f>
        <v>0</v>
      </c>
      <c r="E148" s="24">
        <f>ROUND((E164+E138+E152)/(1-D150)*D148,2)</f>
        <v>0</v>
      </c>
    </row>
    <row r="149" spans="1:6" x14ac:dyDescent="0.25">
      <c r="A149" s="419"/>
      <c r="B149" s="429"/>
      <c r="C149" s="19"/>
      <c r="D149" s="10">
        <v>0</v>
      </c>
      <c r="E149" s="24">
        <f>ROUND((E164+E138+E152)/(1-D152)*D149,2)</f>
        <v>0</v>
      </c>
    </row>
    <row r="150" spans="1:6" x14ac:dyDescent="0.25">
      <c r="A150" s="420"/>
      <c r="B150" s="430" t="s">
        <v>145</v>
      </c>
      <c r="C150" s="431"/>
      <c r="D150" s="18">
        <f>SUM(D140:D149)</f>
        <v>0.03</v>
      </c>
      <c r="E150" s="3">
        <f>ROUND(((E164+E138+E152)/(1-D150))*D150,2)</f>
        <v>825.13</v>
      </c>
      <c r="F150" s="93"/>
    </row>
    <row r="151" spans="1:6" x14ac:dyDescent="0.25">
      <c r="A151" s="355" t="s">
        <v>5</v>
      </c>
      <c r="B151" s="413" t="s">
        <v>152</v>
      </c>
      <c r="C151" s="414"/>
      <c r="D151" s="415"/>
      <c r="E151" s="56">
        <f>E39+E54+E67+E133+E138</f>
        <v>20522.519849999997</v>
      </c>
    </row>
    <row r="152" spans="1:6" x14ac:dyDescent="0.25">
      <c r="A152" s="357"/>
      <c r="B152" s="387" t="s">
        <v>118</v>
      </c>
      <c r="C152" s="387"/>
      <c r="D152" s="64">
        <v>0.3</v>
      </c>
      <c r="E152" s="24">
        <f>(E151*D152)</f>
        <v>6156.7559549999987</v>
      </c>
    </row>
    <row r="153" spans="1:6" x14ac:dyDescent="0.25">
      <c r="A153" s="310" t="s">
        <v>77</v>
      </c>
      <c r="B153" s="310"/>
      <c r="C153" s="310"/>
      <c r="D153" s="11">
        <f>ROUND(SUM(D138+D150+D152),4)</f>
        <v>0.38900000000000001</v>
      </c>
      <c r="E153" s="3">
        <f>E138+E150+E152</f>
        <v>8125.2558049999989</v>
      </c>
    </row>
    <row r="154" spans="1:6" x14ac:dyDescent="0.25">
      <c r="A154" s="8" t="s">
        <v>25</v>
      </c>
      <c r="B154" s="389" t="s">
        <v>119</v>
      </c>
      <c r="C154" s="389"/>
      <c r="D154" s="389"/>
      <c r="E154" s="390"/>
    </row>
    <row r="155" spans="1:6" x14ac:dyDescent="0.25">
      <c r="A155" s="12" t="s">
        <v>26</v>
      </c>
      <c r="B155" s="343" t="s">
        <v>120</v>
      </c>
      <c r="C155" s="343"/>
      <c r="D155" s="343"/>
      <c r="E155" s="344"/>
    </row>
    <row r="156" spans="1:6" x14ac:dyDescent="0.25">
      <c r="A156" s="50"/>
      <c r="B156" s="51"/>
      <c r="C156" s="51"/>
      <c r="D156" s="51"/>
      <c r="E156" s="51"/>
    </row>
    <row r="157" spans="1:6" ht="26.25" x14ac:dyDescent="0.4">
      <c r="A157" s="436" t="s">
        <v>178</v>
      </c>
      <c r="B157" s="436"/>
      <c r="C157" s="436"/>
      <c r="D157" s="436"/>
      <c r="E157" s="436"/>
    </row>
    <row r="158" spans="1:6" x14ac:dyDescent="0.25">
      <c r="A158" s="345" t="s">
        <v>121</v>
      </c>
      <c r="B158" s="345"/>
      <c r="C158" s="345"/>
      <c r="D158" s="345"/>
      <c r="E158" s="345"/>
    </row>
    <row r="159" spans="1:6" x14ac:dyDescent="0.25">
      <c r="A159" s="331" t="s">
        <v>122</v>
      </c>
      <c r="B159" s="331"/>
      <c r="C159" s="331"/>
      <c r="D159" s="331"/>
      <c r="E159" s="69" t="s">
        <v>129</v>
      </c>
    </row>
    <row r="160" spans="1:6" x14ac:dyDescent="0.25">
      <c r="A160" s="27" t="s">
        <v>3</v>
      </c>
      <c r="B160" s="311" t="s">
        <v>125</v>
      </c>
      <c r="C160" s="311"/>
      <c r="D160" s="311"/>
      <c r="E160" s="25">
        <f>E39</f>
        <v>3738</v>
      </c>
    </row>
    <row r="161" spans="1:6" x14ac:dyDescent="0.25">
      <c r="A161" s="27" t="s">
        <v>4</v>
      </c>
      <c r="B161" s="311" t="s">
        <v>126</v>
      </c>
      <c r="C161" s="311"/>
      <c r="D161" s="311"/>
      <c r="E161" s="25">
        <f>E54</f>
        <v>286.44</v>
      </c>
    </row>
    <row r="162" spans="1:6" x14ac:dyDescent="0.25">
      <c r="A162" s="27" t="s">
        <v>5</v>
      </c>
      <c r="B162" s="311" t="s">
        <v>127</v>
      </c>
      <c r="C162" s="311"/>
      <c r="D162" s="311"/>
      <c r="E162" s="25">
        <f>E67</f>
        <v>12841.579999999998</v>
      </c>
    </row>
    <row r="163" spans="1:6" x14ac:dyDescent="0.25">
      <c r="A163" s="27" t="s">
        <v>6</v>
      </c>
      <c r="B163" s="311" t="s">
        <v>102</v>
      </c>
      <c r="C163" s="311"/>
      <c r="D163" s="311"/>
      <c r="E163" s="25">
        <f>E133</f>
        <v>2513.13</v>
      </c>
    </row>
    <row r="164" spans="1:6" x14ac:dyDescent="0.25">
      <c r="A164" s="310" t="s">
        <v>123</v>
      </c>
      <c r="B164" s="310"/>
      <c r="C164" s="310"/>
      <c r="D164" s="310"/>
      <c r="E164" s="20">
        <f>SUM(E160:E163)</f>
        <v>19379.149999999998</v>
      </c>
    </row>
    <row r="165" spans="1:6" x14ac:dyDescent="0.25">
      <c r="A165" s="27" t="s">
        <v>31</v>
      </c>
      <c r="B165" s="327" t="s">
        <v>128</v>
      </c>
      <c r="C165" s="328"/>
      <c r="D165" s="408"/>
      <c r="E165" s="25">
        <f>E153</f>
        <v>8125.2558049999989</v>
      </c>
    </row>
    <row r="166" spans="1:6" x14ac:dyDescent="0.25">
      <c r="A166" s="303" t="s">
        <v>124</v>
      </c>
      <c r="B166" s="304"/>
      <c r="C166" s="304"/>
      <c r="D166" s="304"/>
      <c r="E166" s="21">
        <f>E164+E165</f>
        <v>27504.405804999995</v>
      </c>
      <c r="F166" s="93"/>
    </row>
    <row r="167" spans="1:6" x14ac:dyDescent="0.25">
      <c r="A167" s="303" t="s">
        <v>175</v>
      </c>
      <c r="B167" s="304"/>
      <c r="C167" s="304"/>
      <c r="D167" s="304"/>
      <c r="E167" s="21">
        <f>ROUND((E166/D18),2)</f>
        <v>4.63</v>
      </c>
    </row>
    <row r="169" spans="1:6" x14ac:dyDescent="0.25">
      <c r="B169" s="305" t="s">
        <v>159</v>
      </c>
      <c r="C169" s="305"/>
      <c r="D169" s="305"/>
      <c r="E169" s="305"/>
    </row>
    <row r="170" spans="1:6" x14ac:dyDescent="0.25">
      <c r="B170" s="309" t="s">
        <v>155</v>
      </c>
      <c r="C170" s="309"/>
      <c r="D170" s="306" t="s">
        <v>160</v>
      </c>
      <c r="E170" s="306"/>
    </row>
    <row r="171" spans="1:6" x14ac:dyDescent="0.25">
      <c r="B171" s="72" t="s">
        <v>156</v>
      </c>
      <c r="C171" s="72" t="s">
        <v>157</v>
      </c>
      <c r="D171" s="307">
        <v>120000</v>
      </c>
      <c r="E171" s="307"/>
    </row>
    <row r="172" spans="1:6" x14ac:dyDescent="0.25">
      <c r="B172" s="72" t="s">
        <v>111</v>
      </c>
      <c r="C172" s="67">
        <v>0</v>
      </c>
      <c r="D172" s="432" t="s">
        <v>176</v>
      </c>
      <c r="E172" s="433"/>
    </row>
    <row r="173" spans="1:6" x14ac:dyDescent="0.25">
      <c r="B173" s="72" t="s">
        <v>113</v>
      </c>
      <c r="C173" s="67">
        <v>0</v>
      </c>
      <c r="D173" s="434"/>
      <c r="E173" s="435"/>
    </row>
    <row r="174" spans="1:6" x14ac:dyDescent="0.25">
      <c r="B174" s="72" t="s">
        <v>158</v>
      </c>
      <c r="C174" s="67">
        <v>0</v>
      </c>
    </row>
  </sheetData>
  <mergeCells count="186">
    <mergeCell ref="D172:E173"/>
    <mergeCell ref="B165:D165"/>
    <mergeCell ref="A166:D166"/>
    <mergeCell ref="A157:E157"/>
    <mergeCell ref="A158:E158"/>
    <mergeCell ref="A159:D159"/>
    <mergeCell ref="B160:D160"/>
    <mergeCell ref="B161:D161"/>
    <mergeCell ref="B162:D162"/>
    <mergeCell ref="A164:D164"/>
    <mergeCell ref="B65:B66"/>
    <mergeCell ref="A65:A66"/>
    <mergeCell ref="E65:E66"/>
    <mergeCell ref="B163:D163"/>
    <mergeCell ref="A151:A152"/>
    <mergeCell ref="B151:D151"/>
    <mergeCell ref="B152:C152"/>
    <mergeCell ref="A153:C153"/>
    <mergeCell ref="B154:E154"/>
    <mergeCell ref="B155:E155"/>
    <mergeCell ref="A139:A150"/>
    <mergeCell ref="B139:E139"/>
    <mergeCell ref="B140:B143"/>
    <mergeCell ref="B144:B145"/>
    <mergeCell ref="B146:B147"/>
    <mergeCell ref="B148:B149"/>
    <mergeCell ref="B150:C150"/>
    <mergeCell ref="A131:A132"/>
    <mergeCell ref="B131:B132"/>
    <mergeCell ref="A133:C133"/>
    <mergeCell ref="A135:B135"/>
    <mergeCell ref="C135:E135"/>
    <mergeCell ref="B136:C136"/>
    <mergeCell ref="A137:A138"/>
    <mergeCell ref="B137:D137"/>
    <mergeCell ref="B138:C138"/>
    <mergeCell ref="A122:C122"/>
    <mergeCell ref="A124:B124"/>
    <mergeCell ref="C124:E124"/>
    <mergeCell ref="B125:C125"/>
    <mergeCell ref="B126:C126"/>
    <mergeCell ref="B127:C127"/>
    <mergeCell ref="B128:C128"/>
    <mergeCell ref="B129:C129"/>
    <mergeCell ref="B130:C130"/>
    <mergeCell ref="B113:C113"/>
    <mergeCell ref="B114:C114"/>
    <mergeCell ref="B115:C115"/>
    <mergeCell ref="B116:C116"/>
    <mergeCell ref="B117:C117"/>
    <mergeCell ref="A118:A119"/>
    <mergeCell ref="B118:B119"/>
    <mergeCell ref="A120:C120"/>
    <mergeCell ref="B121:C121"/>
    <mergeCell ref="B104:C104"/>
    <mergeCell ref="B105:C105"/>
    <mergeCell ref="B106:C106"/>
    <mergeCell ref="B107:C107"/>
    <mergeCell ref="B108:C108"/>
    <mergeCell ref="A109:C109"/>
    <mergeCell ref="A111:B111"/>
    <mergeCell ref="C111:E111"/>
    <mergeCell ref="B112:C112"/>
    <mergeCell ref="A92:C92"/>
    <mergeCell ref="A94:B94"/>
    <mergeCell ref="C94:E94"/>
    <mergeCell ref="A97:A98"/>
    <mergeCell ref="B97:C98"/>
    <mergeCell ref="D97:D98"/>
    <mergeCell ref="E97:E98"/>
    <mergeCell ref="A99:C99"/>
    <mergeCell ref="A101:B101"/>
    <mergeCell ref="C101:E101"/>
    <mergeCell ref="A85:B85"/>
    <mergeCell ref="C85:E85"/>
    <mergeCell ref="B86:C86"/>
    <mergeCell ref="B87:C87"/>
    <mergeCell ref="B88:C88"/>
    <mergeCell ref="A89:C89"/>
    <mergeCell ref="A90:A91"/>
    <mergeCell ref="B90:C91"/>
    <mergeCell ref="D90:D91"/>
    <mergeCell ref="E90:E91"/>
    <mergeCell ref="B75:C75"/>
    <mergeCell ref="B76:C76"/>
    <mergeCell ref="B77:C77"/>
    <mergeCell ref="B78:C78"/>
    <mergeCell ref="B79:C79"/>
    <mergeCell ref="B80:C80"/>
    <mergeCell ref="A81:C81"/>
    <mergeCell ref="B82:E82"/>
    <mergeCell ref="B83:E83"/>
    <mergeCell ref="A67:D67"/>
    <mergeCell ref="B68:E68"/>
    <mergeCell ref="A70:B70"/>
    <mergeCell ref="C70:E70"/>
    <mergeCell ref="A71:B71"/>
    <mergeCell ref="C71:E71"/>
    <mergeCell ref="B72:C72"/>
    <mergeCell ref="B73:C73"/>
    <mergeCell ref="B74:C74"/>
    <mergeCell ref="A54:D54"/>
    <mergeCell ref="A63:A64"/>
    <mergeCell ref="B55:E55"/>
    <mergeCell ref="B56:E56"/>
    <mergeCell ref="A58:B58"/>
    <mergeCell ref="C58:E58"/>
    <mergeCell ref="B59:D59"/>
    <mergeCell ref="B60:B61"/>
    <mergeCell ref="A60:A61"/>
    <mergeCell ref="E60:E61"/>
    <mergeCell ref="B63:B64"/>
    <mergeCell ref="E63:E64"/>
    <mergeCell ref="A45:A47"/>
    <mergeCell ref="B45:B47"/>
    <mergeCell ref="E45:E47"/>
    <mergeCell ref="B48:D48"/>
    <mergeCell ref="B49:D49"/>
    <mergeCell ref="B50:D50"/>
    <mergeCell ref="A51:A53"/>
    <mergeCell ref="B51:B53"/>
    <mergeCell ref="C51:D51"/>
    <mergeCell ref="C52:D52"/>
    <mergeCell ref="C53:D53"/>
    <mergeCell ref="A37:A38"/>
    <mergeCell ref="B37:B38"/>
    <mergeCell ref="E37:E38"/>
    <mergeCell ref="A39:D39"/>
    <mergeCell ref="A40:B40"/>
    <mergeCell ref="C40:E40"/>
    <mergeCell ref="B41:D41"/>
    <mergeCell ref="A42:A44"/>
    <mergeCell ref="B42:B44"/>
    <mergeCell ref="E42:E44"/>
    <mergeCell ref="B29:D29"/>
    <mergeCell ref="B30:D30"/>
    <mergeCell ref="B31:D31"/>
    <mergeCell ref="B32:E32"/>
    <mergeCell ref="A33:B33"/>
    <mergeCell ref="C33:E33"/>
    <mergeCell ref="B34:D34"/>
    <mergeCell ref="B35:D35"/>
    <mergeCell ref="B36:D36"/>
    <mergeCell ref="B19:E19"/>
    <mergeCell ref="B20:E20"/>
    <mergeCell ref="B21:E21"/>
    <mergeCell ref="B22:E22"/>
    <mergeCell ref="A24:E24"/>
    <mergeCell ref="A25:E25"/>
    <mergeCell ref="A26:E26"/>
    <mergeCell ref="A27:E27"/>
    <mergeCell ref="B28:D28"/>
    <mergeCell ref="D12:E12"/>
    <mergeCell ref="B13:D13"/>
    <mergeCell ref="B14:D14"/>
    <mergeCell ref="A15:E15"/>
    <mergeCell ref="A16:B16"/>
    <mergeCell ref="D16:E16"/>
    <mergeCell ref="A17:B17"/>
    <mergeCell ref="D17:E17"/>
    <mergeCell ref="A18:C18"/>
    <mergeCell ref="D18:E18"/>
    <mergeCell ref="A1:E1"/>
    <mergeCell ref="A167:D167"/>
    <mergeCell ref="B169:E169"/>
    <mergeCell ref="D170:E170"/>
    <mergeCell ref="D171:E171"/>
    <mergeCell ref="F94:G94"/>
    <mergeCell ref="F111:G111"/>
    <mergeCell ref="B170:C170"/>
    <mergeCell ref="B95:C95"/>
    <mergeCell ref="B96:C96"/>
    <mergeCell ref="B102:C102"/>
    <mergeCell ref="B103:C103"/>
    <mergeCell ref="A2:E2"/>
    <mergeCell ref="A3:E3"/>
    <mergeCell ref="B4:C4"/>
    <mergeCell ref="A6:E6"/>
    <mergeCell ref="A7:B7"/>
    <mergeCell ref="C7:E7"/>
    <mergeCell ref="A8:B8"/>
    <mergeCell ref="C8:E8"/>
    <mergeCell ref="A9:C9"/>
    <mergeCell ref="A10:E10"/>
    <mergeCell ref="B11:D11"/>
    <mergeCell ref="B12:C12"/>
  </mergeCells>
  <pageMargins left="0.51181102362204722" right="0.51181102362204722" top="0.78740157480314965" bottom="0.78740157480314965" header="0.31496062992125984" footer="0.31496062992125984"/>
  <pageSetup paperSize="9" scale="6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80"/>
  <sheetViews>
    <sheetView tabSelected="1" topLeftCell="A37" workbookViewId="0">
      <selection activeCell="B68" sqref="B68:E68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1.8554687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491" t="s">
        <v>179</v>
      </c>
      <c r="B1" s="491"/>
      <c r="C1" s="491"/>
      <c r="D1" s="491"/>
      <c r="E1" s="491"/>
      <c r="F1" s="4"/>
      <c r="G1" s="4"/>
    </row>
    <row r="2" spans="1:7" x14ac:dyDescent="0.25">
      <c r="A2" s="440"/>
      <c r="B2" s="440"/>
      <c r="C2" s="440"/>
      <c r="D2" s="440"/>
      <c r="E2" s="440"/>
      <c r="F2" s="4"/>
      <c r="G2" s="4"/>
    </row>
    <row r="3" spans="1:7" x14ac:dyDescent="0.25">
      <c r="A3" s="467" t="s">
        <v>186</v>
      </c>
      <c r="B3" s="468"/>
      <c r="C3" s="468"/>
      <c r="D3" s="468"/>
      <c r="E3" s="469"/>
      <c r="F3" s="4"/>
      <c r="G3" s="4"/>
    </row>
    <row r="4" spans="1:7" x14ac:dyDescent="0.25">
      <c r="A4" s="109" t="s">
        <v>135</v>
      </c>
      <c r="B4" s="492"/>
      <c r="C4" s="493"/>
      <c r="D4" s="110" t="s">
        <v>136</v>
      </c>
      <c r="E4" s="111"/>
      <c r="F4" s="4"/>
      <c r="G4" s="4"/>
    </row>
    <row r="5" spans="1:7" x14ac:dyDescent="0.25">
      <c r="A5" s="109" t="s">
        <v>0</v>
      </c>
      <c r="B5" s="112"/>
      <c r="C5" s="113" t="s">
        <v>1</v>
      </c>
      <c r="D5" s="114">
        <v>0.375</v>
      </c>
      <c r="E5" s="113" t="s">
        <v>2</v>
      </c>
      <c r="F5" s="4"/>
      <c r="G5" s="4"/>
    </row>
    <row r="6" spans="1:7" x14ac:dyDescent="0.25">
      <c r="A6" s="441" t="s">
        <v>137</v>
      </c>
      <c r="B6" s="441"/>
      <c r="C6" s="441"/>
      <c r="D6" s="441"/>
      <c r="E6" s="441"/>
      <c r="F6" s="4"/>
      <c r="G6" s="4"/>
    </row>
    <row r="7" spans="1:7" x14ac:dyDescent="0.25">
      <c r="A7" s="494" t="s">
        <v>138</v>
      </c>
      <c r="B7" s="494"/>
      <c r="C7" s="495"/>
      <c r="D7" s="495"/>
      <c r="E7" s="495"/>
      <c r="F7" s="4"/>
      <c r="G7" s="4"/>
    </row>
    <row r="8" spans="1:7" x14ac:dyDescent="0.25">
      <c r="A8" s="494" t="s">
        <v>139</v>
      </c>
      <c r="B8" s="494"/>
      <c r="C8" s="499"/>
      <c r="D8" s="500"/>
      <c r="E8" s="501"/>
      <c r="F8" s="4"/>
      <c r="G8" s="4"/>
    </row>
    <row r="9" spans="1:7" x14ac:dyDescent="0.25">
      <c r="A9" s="502" t="s">
        <v>140</v>
      </c>
      <c r="B9" s="503"/>
      <c r="C9" s="504"/>
      <c r="D9" s="115">
        <v>4</v>
      </c>
      <c r="E9" s="116" t="str">
        <f>IF(D9=1,"Lucro Real",IF(D9=2,"Lucro Presumido",IF(D9=3,"SIMPLES-Anexo III",IF(D9=4,"SIMPLES-Anexo IV","RT Inválido"))))</f>
        <v>SIMPLES-Anexo IV</v>
      </c>
      <c r="F9" s="4"/>
      <c r="G9" s="4"/>
    </row>
    <row r="10" spans="1:7" x14ac:dyDescent="0.25">
      <c r="A10" s="441" t="s">
        <v>174</v>
      </c>
      <c r="B10" s="441"/>
      <c r="C10" s="441"/>
      <c r="D10" s="441"/>
      <c r="E10" s="441"/>
      <c r="F10" s="4"/>
      <c r="G10" s="4"/>
    </row>
    <row r="11" spans="1:7" x14ac:dyDescent="0.25">
      <c r="A11" s="117" t="s">
        <v>3</v>
      </c>
      <c r="B11" s="437" t="s">
        <v>7</v>
      </c>
      <c r="C11" s="437"/>
      <c r="D11" s="437"/>
      <c r="E11" s="118"/>
      <c r="F11" s="4"/>
      <c r="G11" s="4"/>
    </row>
    <row r="12" spans="1:7" x14ac:dyDescent="0.25">
      <c r="A12" s="117" t="s">
        <v>4</v>
      </c>
      <c r="B12" s="475" t="s">
        <v>8</v>
      </c>
      <c r="C12" s="496"/>
      <c r="D12" s="497" t="s">
        <v>180</v>
      </c>
      <c r="E12" s="498"/>
      <c r="F12" s="4"/>
      <c r="G12" s="4"/>
    </row>
    <row r="13" spans="1:7" x14ac:dyDescent="0.25">
      <c r="A13" s="117" t="s">
        <v>5</v>
      </c>
      <c r="B13" s="437" t="s">
        <v>9</v>
      </c>
      <c r="C13" s="437"/>
      <c r="D13" s="437"/>
      <c r="E13" s="102" t="s">
        <v>181</v>
      </c>
      <c r="F13" s="4"/>
      <c r="G13" s="4"/>
    </row>
    <row r="14" spans="1:7" x14ac:dyDescent="0.25">
      <c r="A14" s="117" t="s">
        <v>6</v>
      </c>
      <c r="B14" s="437" t="s">
        <v>10</v>
      </c>
      <c r="C14" s="437"/>
      <c r="D14" s="437"/>
      <c r="E14" s="119">
        <v>10</v>
      </c>
      <c r="F14" s="4"/>
      <c r="G14" s="4"/>
    </row>
    <row r="15" spans="1:7" x14ac:dyDescent="0.25">
      <c r="A15" s="441" t="s">
        <v>134</v>
      </c>
      <c r="B15" s="441"/>
      <c r="C15" s="441"/>
      <c r="D15" s="441"/>
      <c r="E15" s="441"/>
      <c r="F15" s="4"/>
      <c r="G15" s="4"/>
    </row>
    <row r="16" spans="1:7" x14ac:dyDescent="0.25">
      <c r="A16" s="442" t="s">
        <v>11</v>
      </c>
      <c r="B16" s="442"/>
      <c r="C16" s="120" t="s">
        <v>12</v>
      </c>
      <c r="D16" s="442" t="s">
        <v>13</v>
      </c>
      <c r="E16" s="442"/>
      <c r="F16" s="4"/>
      <c r="G16" s="4"/>
    </row>
    <row r="17" spans="1:7" x14ac:dyDescent="0.25">
      <c r="A17" s="442" t="s">
        <v>163</v>
      </c>
      <c r="B17" s="442"/>
      <c r="C17" s="121" t="s">
        <v>182</v>
      </c>
      <c r="D17" s="443">
        <v>1984.4</v>
      </c>
      <c r="E17" s="444"/>
      <c r="F17" s="4"/>
      <c r="G17" s="4"/>
    </row>
    <row r="18" spans="1:7" x14ac:dyDescent="0.25">
      <c r="A18" s="445" t="s">
        <v>153</v>
      </c>
      <c r="B18" s="446"/>
      <c r="C18" s="447"/>
      <c r="D18" s="448">
        <f>SUM(D17)</f>
        <v>1984.4</v>
      </c>
      <c r="E18" s="449"/>
      <c r="F18" s="4"/>
      <c r="G18" s="4"/>
    </row>
    <row r="19" spans="1:7" x14ac:dyDescent="0.25">
      <c r="A19" s="122" t="s">
        <v>25</v>
      </c>
      <c r="B19" s="450" t="s">
        <v>14</v>
      </c>
      <c r="C19" s="450"/>
      <c r="D19" s="450"/>
      <c r="E19" s="451"/>
      <c r="F19" s="4"/>
      <c r="G19" s="4"/>
    </row>
    <row r="20" spans="1:7" x14ac:dyDescent="0.25">
      <c r="A20" s="123"/>
      <c r="B20" s="452" t="s">
        <v>15</v>
      </c>
      <c r="C20" s="452"/>
      <c r="D20" s="452"/>
      <c r="E20" s="453"/>
      <c r="F20" s="4"/>
      <c r="G20" s="4"/>
    </row>
    <row r="21" spans="1:7" x14ac:dyDescent="0.25">
      <c r="A21" s="122" t="s">
        <v>26</v>
      </c>
      <c r="B21" s="450" t="s">
        <v>16</v>
      </c>
      <c r="C21" s="450"/>
      <c r="D21" s="450"/>
      <c r="E21" s="451"/>
      <c r="F21" s="4"/>
      <c r="G21" s="4"/>
    </row>
    <row r="22" spans="1:7" x14ac:dyDescent="0.25">
      <c r="A22" s="123"/>
      <c r="B22" s="438" t="s">
        <v>17</v>
      </c>
      <c r="C22" s="438"/>
      <c r="D22" s="438"/>
      <c r="E22" s="439"/>
      <c r="F22" s="4"/>
      <c r="G22" s="4"/>
    </row>
    <row r="23" spans="1:7" x14ac:dyDescent="0.25">
      <c r="A23" s="108"/>
      <c r="B23" s="108"/>
      <c r="C23" s="108"/>
      <c r="D23" s="108"/>
      <c r="E23" s="108"/>
      <c r="F23" s="4"/>
      <c r="G23" s="4"/>
    </row>
    <row r="24" spans="1:7" x14ac:dyDescent="0.25">
      <c r="A24" s="440" t="s">
        <v>177</v>
      </c>
      <c r="B24" s="440"/>
      <c r="C24" s="440"/>
      <c r="D24" s="440"/>
      <c r="E24" s="440"/>
      <c r="F24" s="4"/>
      <c r="G24" s="4"/>
    </row>
    <row r="25" spans="1:7" x14ac:dyDescent="0.25">
      <c r="A25" s="454" t="s">
        <v>18</v>
      </c>
      <c r="B25" s="454"/>
      <c r="C25" s="454"/>
      <c r="D25" s="454"/>
      <c r="E25" s="454"/>
      <c r="F25" s="4"/>
      <c r="G25" s="4"/>
    </row>
    <row r="26" spans="1:7" x14ac:dyDescent="0.25">
      <c r="A26" s="455" t="s">
        <v>19</v>
      </c>
      <c r="B26" s="455"/>
      <c r="C26" s="455"/>
      <c r="D26" s="455"/>
      <c r="E26" s="455"/>
      <c r="F26" s="4"/>
      <c r="G26" s="4"/>
    </row>
    <row r="27" spans="1:7" x14ac:dyDescent="0.25">
      <c r="A27" s="437" t="s">
        <v>20</v>
      </c>
      <c r="B27" s="437"/>
      <c r="C27" s="437"/>
      <c r="D27" s="437"/>
      <c r="E27" s="437"/>
      <c r="F27" s="4"/>
      <c r="G27" s="4"/>
    </row>
    <row r="28" spans="1:7" x14ac:dyDescent="0.25">
      <c r="A28" s="117">
        <v>1</v>
      </c>
      <c r="B28" s="437" t="s">
        <v>21</v>
      </c>
      <c r="C28" s="437"/>
      <c r="D28" s="437"/>
      <c r="E28" s="124" t="s">
        <v>163</v>
      </c>
      <c r="F28" s="4"/>
      <c r="G28" s="4"/>
    </row>
    <row r="29" spans="1:7" x14ac:dyDescent="0.25">
      <c r="A29" s="117">
        <v>2</v>
      </c>
      <c r="B29" s="437" t="s">
        <v>22</v>
      </c>
      <c r="C29" s="437"/>
      <c r="D29" s="437"/>
      <c r="E29" s="125">
        <v>1869</v>
      </c>
      <c r="F29" s="4"/>
      <c r="G29" s="4"/>
    </row>
    <row r="30" spans="1:7" x14ac:dyDescent="0.25">
      <c r="A30" s="117">
        <v>3</v>
      </c>
      <c r="B30" s="437" t="s">
        <v>23</v>
      </c>
      <c r="C30" s="437"/>
      <c r="D30" s="437"/>
      <c r="E30" s="124" t="s">
        <v>164</v>
      </c>
      <c r="F30" s="4"/>
      <c r="G30" s="4"/>
    </row>
    <row r="31" spans="1:7" x14ac:dyDescent="0.25">
      <c r="A31" s="117">
        <v>4</v>
      </c>
      <c r="B31" s="437" t="s">
        <v>24</v>
      </c>
      <c r="C31" s="437"/>
      <c r="D31" s="437"/>
      <c r="E31" s="126">
        <v>43831</v>
      </c>
      <c r="F31" s="4"/>
      <c r="G31" s="4"/>
    </row>
    <row r="32" spans="1:7" x14ac:dyDescent="0.25">
      <c r="A32" s="127" t="s">
        <v>27</v>
      </c>
      <c r="B32" s="457" t="s">
        <v>28</v>
      </c>
      <c r="C32" s="457"/>
      <c r="D32" s="457"/>
      <c r="E32" s="458"/>
      <c r="F32" s="4"/>
      <c r="G32" s="4"/>
    </row>
    <row r="33" spans="1:7" x14ac:dyDescent="0.25">
      <c r="A33" s="454" t="s">
        <v>29</v>
      </c>
      <c r="B33" s="454"/>
      <c r="C33" s="454" t="s">
        <v>30</v>
      </c>
      <c r="D33" s="454"/>
      <c r="E33" s="454"/>
      <c r="F33" s="4"/>
      <c r="G33" s="4"/>
    </row>
    <row r="34" spans="1:7" x14ac:dyDescent="0.25">
      <c r="A34" s="128">
        <v>1</v>
      </c>
      <c r="B34" s="455" t="s">
        <v>35</v>
      </c>
      <c r="C34" s="455"/>
      <c r="D34" s="455"/>
      <c r="E34" s="128" t="s">
        <v>41</v>
      </c>
      <c r="F34" s="4"/>
      <c r="G34" s="4"/>
    </row>
    <row r="35" spans="1:7" x14ac:dyDescent="0.25">
      <c r="A35" s="36" t="s">
        <v>3</v>
      </c>
      <c r="B35" s="348" t="s">
        <v>36</v>
      </c>
      <c r="C35" s="348"/>
      <c r="D35" s="348"/>
      <c r="E35" s="84">
        <v>1869</v>
      </c>
      <c r="F35" s="4"/>
      <c r="G35" s="4"/>
    </row>
    <row r="36" spans="1:7" x14ac:dyDescent="0.25">
      <c r="A36" s="36" t="s">
        <v>4</v>
      </c>
      <c r="B36" s="348" t="s">
        <v>38</v>
      </c>
      <c r="C36" s="348"/>
      <c r="D36" s="348"/>
      <c r="E36" s="71">
        <v>0</v>
      </c>
      <c r="F36" s="4"/>
      <c r="G36" s="4"/>
    </row>
    <row r="37" spans="1:7" x14ac:dyDescent="0.25">
      <c r="A37" s="349" t="s">
        <v>5</v>
      </c>
      <c r="B37" s="351" t="s">
        <v>37</v>
      </c>
      <c r="C37" s="107" t="s">
        <v>147</v>
      </c>
      <c r="D37" s="75">
        <v>1869</v>
      </c>
      <c r="E37" s="353">
        <f>D37*D38</f>
        <v>0</v>
      </c>
      <c r="F37" s="4"/>
      <c r="G37" s="4"/>
    </row>
    <row r="38" spans="1:7" x14ac:dyDescent="0.25">
      <c r="A38" s="350"/>
      <c r="B38" s="352"/>
      <c r="C38" s="52" t="s">
        <v>148</v>
      </c>
      <c r="D38" s="41">
        <v>0</v>
      </c>
      <c r="E38" s="354"/>
      <c r="F38" s="4"/>
      <c r="G38" s="4"/>
    </row>
    <row r="39" spans="1:7" x14ac:dyDescent="0.25">
      <c r="A39" s="455" t="s">
        <v>40</v>
      </c>
      <c r="B39" s="455"/>
      <c r="C39" s="455"/>
      <c r="D39" s="455"/>
      <c r="E39" s="129">
        <f>SUM(E35:E38)</f>
        <v>1869</v>
      </c>
      <c r="F39" s="4"/>
      <c r="G39" s="4"/>
    </row>
    <row r="40" spans="1:7" x14ac:dyDescent="0.25">
      <c r="A40" s="454" t="s">
        <v>42</v>
      </c>
      <c r="B40" s="454"/>
      <c r="C40" s="454" t="s">
        <v>43</v>
      </c>
      <c r="D40" s="454"/>
      <c r="E40" s="454"/>
      <c r="F40" s="4"/>
      <c r="G40" s="4"/>
    </row>
    <row r="41" spans="1:7" x14ac:dyDescent="0.25">
      <c r="A41" s="128">
        <v>2</v>
      </c>
      <c r="B41" s="455" t="s">
        <v>44</v>
      </c>
      <c r="C41" s="455"/>
      <c r="D41" s="455"/>
      <c r="E41" s="128"/>
      <c r="F41" s="4"/>
      <c r="G41" s="4"/>
    </row>
    <row r="42" spans="1:7" x14ac:dyDescent="0.25">
      <c r="A42" s="472" t="s">
        <v>3</v>
      </c>
      <c r="B42" s="463" t="s">
        <v>45</v>
      </c>
      <c r="C42" s="130" t="s">
        <v>131</v>
      </c>
      <c r="D42" s="131">
        <v>1869</v>
      </c>
      <c r="E42" s="466">
        <f>IF(D43&gt;0,(D43*D44-(D42*6%)),0)</f>
        <v>0</v>
      </c>
      <c r="F42" s="4"/>
      <c r="G42" s="4"/>
    </row>
    <row r="43" spans="1:7" x14ac:dyDescent="0.25">
      <c r="A43" s="474"/>
      <c r="B43" s="464"/>
      <c r="C43" s="130" t="s">
        <v>132</v>
      </c>
      <c r="D43" s="132">
        <v>0</v>
      </c>
      <c r="E43" s="466"/>
      <c r="F43" s="4"/>
      <c r="G43" s="4"/>
    </row>
    <row r="44" spans="1:7" x14ac:dyDescent="0.25">
      <c r="A44" s="473"/>
      <c r="B44" s="465"/>
      <c r="C44" s="130" t="s">
        <v>130</v>
      </c>
      <c r="D44" s="133">
        <v>0</v>
      </c>
      <c r="E44" s="466"/>
      <c r="F44" s="4"/>
      <c r="G44" s="4"/>
    </row>
    <row r="45" spans="1:7" x14ac:dyDescent="0.25">
      <c r="A45" s="472" t="s">
        <v>4</v>
      </c>
      <c r="B45" s="362" t="s">
        <v>46</v>
      </c>
      <c r="C45" s="130" t="s">
        <v>149</v>
      </c>
      <c r="D45" s="134">
        <v>7</v>
      </c>
      <c r="E45" s="505">
        <f>ROUND((D45*D46)-((D45*D46)*D47),2)</f>
        <v>143.22</v>
      </c>
      <c r="F45" s="4"/>
      <c r="G45" s="4"/>
    </row>
    <row r="46" spans="1:7" x14ac:dyDescent="0.25">
      <c r="A46" s="474"/>
      <c r="B46" s="363"/>
      <c r="C46" s="130" t="s">
        <v>150</v>
      </c>
      <c r="D46" s="135">
        <v>22</v>
      </c>
      <c r="E46" s="506"/>
      <c r="F46" s="4"/>
      <c r="G46" s="4"/>
    </row>
    <row r="47" spans="1:7" x14ac:dyDescent="0.25">
      <c r="A47" s="473"/>
      <c r="B47" s="364"/>
      <c r="C47" s="136" t="s">
        <v>133</v>
      </c>
      <c r="D47" s="137">
        <v>7.0000000000000007E-2</v>
      </c>
      <c r="E47" s="507"/>
      <c r="F47" s="4"/>
      <c r="G47" s="4"/>
    </row>
    <row r="48" spans="1:7" x14ac:dyDescent="0.25">
      <c r="A48" s="117" t="s">
        <v>5</v>
      </c>
      <c r="B48" s="368" t="s">
        <v>47</v>
      </c>
      <c r="C48" s="368"/>
      <c r="D48" s="368"/>
      <c r="E48" s="100">
        <v>0</v>
      </c>
      <c r="F48" s="4"/>
      <c r="G48" s="4"/>
    </row>
    <row r="49" spans="1:7" x14ac:dyDescent="0.25">
      <c r="A49" s="117" t="s">
        <v>6</v>
      </c>
      <c r="B49" s="368"/>
      <c r="C49" s="368"/>
      <c r="D49" s="368"/>
      <c r="E49" s="100"/>
      <c r="F49" s="4"/>
      <c r="G49" s="4"/>
    </row>
    <row r="50" spans="1:7" x14ac:dyDescent="0.25">
      <c r="A50" s="117" t="s">
        <v>31</v>
      </c>
      <c r="B50" s="368" t="s">
        <v>154</v>
      </c>
      <c r="C50" s="368"/>
      <c r="D50" s="368"/>
      <c r="E50" s="100">
        <v>0</v>
      </c>
      <c r="F50" s="4"/>
      <c r="G50" s="4"/>
    </row>
    <row r="51" spans="1:7" x14ac:dyDescent="0.25">
      <c r="A51" s="508" t="s">
        <v>32</v>
      </c>
      <c r="B51" s="370" t="s">
        <v>39</v>
      </c>
      <c r="C51" s="373"/>
      <c r="D51" s="373"/>
      <c r="E51" s="43"/>
      <c r="F51" s="4"/>
      <c r="G51" s="4"/>
    </row>
    <row r="52" spans="1:7" x14ac:dyDescent="0.25">
      <c r="A52" s="508"/>
      <c r="B52" s="371"/>
      <c r="C52" s="373"/>
      <c r="D52" s="373"/>
      <c r="E52" s="43"/>
      <c r="F52" s="4"/>
      <c r="G52" s="4"/>
    </row>
    <row r="53" spans="1:7" x14ac:dyDescent="0.25">
      <c r="A53" s="508"/>
      <c r="B53" s="372"/>
      <c r="C53" s="373"/>
      <c r="D53" s="373"/>
      <c r="E53" s="43"/>
      <c r="F53" s="4"/>
      <c r="G53" s="4"/>
    </row>
    <row r="54" spans="1:7" x14ac:dyDescent="0.25">
      <c r="A54" s="455" t="s">
        <v>48</v>
      </c>
      <c r="B54" s="455"/>
      <c r="C54" s="455"/>
      <c r="D54" s="455"/>
      <c r="E54" s="129">
        <f>SUM(E42:E53)</f>
        <v>143.22</v>
      </c>
      <c r="F54" s="4"/>
      <c r="G54" s="4"/>
    </row>
    <row r="55" spans="1:7" x14ac:dyDescent="0.25">
      <c r="A55" s="138" t="s">
        <v>27</v>
      </c>
      <c r="B55" s="514" t="s">
        <v>49</v>
      </c>
      <c r="C55" s="514"/>
      <c r="D55" s="514"/>
      <c r="E55" s="515"/>
      <c r="F55" s="4"/>
      <c r="G55" s="4"/>
    </row>
    <row r="56" spans="1:7" x14ac:dyDescent="0.25">
      <c r="A56" s="123"/>
      <c r="B56" s="438" t="s">
        <v>50</v>
      </c>
      <c r="C56" s="438"/>
      <c r="D56" s="438"/>
      <c r="E56" s="439"/>
      <c r="F56" s="4"/>
      <c r="G56" s="4"/>
    </row>
    <row r="57" spans="1:7" x14ac:dyDescent="0.25">
      <c r="A57" s="108"/>
      <c r="B57" s="108"/>
      <c r="C57" s="108"/>
      <c r="D57" s="108"/>
      <c r="E57" s="108"/>
      <c r="F57" s="4"/>
      <c r="G57" s="4"/>
    </row>
    <row r="58" spans="1:7" x14ac:dyDescent="0.25">
      <c r="A58" s="454" t="s">
        <v>51</v>
      </c>
      <c r="B58" s="454"/>
      <c r="C58" s="454" t="s">
        <v>189</v>
      </c>
      <c r="D58" s="454"/>
      <c r="E58" s="454"/>
      <c r="F58" s="4"/>
      <c r="G58" s="4"/>
    </row>
    <row r="59" spans="1:7" x14ac:dyDescent="0.25">
      <c r="A59" s="128">
        <v>3</v>
      </c>
      <c r="B59" s="455" t="s">
        <v>53</v>
      </c>
      <c r="C59" s="455"/>
      <c r="D59" s="455"/>
      <c r="E59" s="128" t="s">
        <v>41</v>
      </c>
      <c r="F59" s="4"/>
      <c r="G59" s="4"/>
    </row>
    <row r="60" spans="1:7" x14ac:dyDescent="0.25">
      <c r="A60" s="472" t="s">
        <v>3</v>
      </c>
      <c r="B60" s="459" t="s">
        <v>165</v>
      </c>
      <c r="C60" s="139" t="s">
        <v>167</v>
      </c>
      <c r="D60" s="139" t="s">
        <v>166</v>
      </c>
      <c r="E60" s="461">
        <f>(D17/C61)*D61</f>
        <v>2579.7200000000003</v>
      </c>
      <c r="F60" s="4"/>
      <c r="G60" s="4"/>
    </row>
    <row r="61" spans="1:7" x14ac:dyDescent="0.25">
      <c r="A61" s="473"/>
      <c r="B61" s="460"/>
      <c r="C61" s="140">
        <v>3</v>
      </c>
      <c r="D61" s="141">
        <v>3.9</v>
      </c>
      <c r="E61" s="462"/>
      <c r="F61" s="92"/>
      <c r="G61" s="4"/>
    </row>
    <row r="62" spans="1:7" x14ac:dyDescent="0.25">
      <c r="A62" s="143" t="s">
        <v>4</v>
      </c>
      <c r="B62" s="144" t="s">
        <v>168</v>
      </c>
      <c r="C62" s="145" t="s">
        <v>169</v>
      </c>
      <c r="D62" s="146">
        <v>1000</v>
      </c>
      <c r="E62" s="147">
        <f>D62/12</f>
        <v>83.333333333333329</v>
      </c>
      <c r="F62" s="4"/>
      <c r="G62" s="4"/>
    </row>
    <row r="63" spans="1:7" x14ac:dyDescent="0.25">
      <c r="A63" s="508" t="s">
        <v>5</v>
      </c>
      <c r="B63" s="509" t="s">
        <v>170</v>
      </c>
      <c r="C63" s="145" t="s">
        <v>171</v>
      </c>
      <c r="D63" s="139" t="s">
        <v>184</v>
      </c>
      <c r="E63" s="510">
        <f>D64/12</f>
        <v>583.33333333333337</v>
      </c>
      <c r="F63" s="4"/>
      <c r="G63" s="4"/>
    </row>
    <row r="64" spans="1:7" x14ac:dyDescent="0.25">
      <c r="A64" s="508"/>
      <c r="B64" s="509"/>
      <c r="C64" s="148">
        <v>100000</v>
      </c>
      <c r="D64" s="149">
        <f>C64*7%</f>
        <v>7000.0000000000009</v>
      </c>
      <c r="E64" s="511"/>
      <c r="F64" s="4"/>
      <c r="G64" s="4"/>
    </row>
    <row r="65" spans="1:7" x14ac:dyDescent="0.25">
      <c r="A65" s="472" t="s">
        <v>6</v>
      </c>
      <c r="B65" s="512" t="s">
        <v>172</v>
      </c>
      <c r="C65" s="150" t="s">
        <v>147</v>
      </c>
      <c r="D65" s="151" t="s">
        <v>68</v>
      </c>
      <c r="E65" s="510">
        <f>C66*D66</f>
        <v>1289.8600000000001</v>
      </c>
      <c r="F65" s="4"/>
      <c r="G65" s="4"/>
    </row>
    <row r="66" spans="1:7" x14ac:dyDescent="0.25">
      <c r="A66" s="473"/>
      <c r="B66" s="513"/>
      <c r="C66" s="152">
        <f>E60</f>
        <v>2579.7200000000003</v>
      </c>
      <c r="D66" s="153">
        <v>0.5</v>
      </c>
      <c r="E66" s="511"/>
      <c r="F66" s="92"/>
      <c r="G66" s="4"/>
    </row>
    <row r="67" spans="1:7" x14ac:dyDescent="0.25">
      <c r="A67" s="455" t="s">
        <v>55</v>
      </c>
      <c r="B67" s="455"/>
      <c r="C67" s="455"/>
      <c r="D67" s="455"/>
      <c r="E67" s="129">
        <f>SUM(E60:E66)</f>
        <v>4536.2466666666678</v>
      </c>
      <c r="F67" s="4"/>
      <c r="G67" s="4"/>
    </row>
    <row r="68" spans="1:7" x14ac:dyDescent="0.25">
      <c r="A68" s="154" t="s">
        <v>27</v>
      </c>
      <c r="B68" s="457" t="s">
        <v>190</v>
      </c>
      <c r="C68" s="457"/>
      <c r="D68" s="457"/>
      <c r="E68" s="458"/>
      <c r="F68" s="4"/>
      <c r="G68" s="4"/>
    </row>
    <row r="69" spans="1:7" x14ac:dyDescent="0.25">
      <c r="A69" s="108"/>
      <c r="B69" s="108"/>
      <c r="C69" s="108"/>
      <c r="D69" s="108"/>
      <c r="E69" s="108"/>
      <c r="F69" s="4"/>
      <c r="G69" s="4"/>
    </row>
    <row r="70" spans="1:7" x14ac:dyDescent="0.25">
      <c r="A70" s="454" t="s">
        <v>56</v>
      </c>
      <c r="B70" s="454"/>
      <c r="C70" s="454" t="s">
        <v>57</v>
      </c>
      <c r="D70" s="454"/>
      <c r="E70" s="454"/>
      <c r="F70" s="4"/>
      <c r="G70" s="4"/>
    </row>
    <row r="71" spans="1:7" x14ac:dyDescent="0.25">
      <c r="A71" s="481" t="s">
        <v>58</v>
      </c>
      <c r="B71" s="482"/>
      <c r="C71" s="481" t="s">
        <v>59</v>
      </c>
      <c r="D71" s="483"/>
      <c r="E71" s="482"/>
      <c r="F71" s="4"/>
      <c r="G71" s="4"/>
    </row>
    <row r="72" spans="1:7" x14ac:dyDescent="0.25">
      <c r="A72" s="128" t="s">
        <v>60</v>
      </c>
      <c r="B72" s="455" t="s">
        <v>59</v>
      </c>
      <c r="C72" s="455"/>
      <c r="D72" s="128" t="s">
        <v>68</v>
      </c>
      <c r="E72" s="128" t="s">
        <v>41</v>
      </c>
      <c r="F72" s="4"/>
      <c r="G72" s="4"/>
    </row>
    <row r="73" spans="1:7" x14ac:dyDescent="0.25">
      <c r="A73" s="117" t="s">
        <v>3</v>
      </c>
      <c r="B73" s="437" t="s">
        <v>61</v>
      </c>
      <c r="C73" s="437"/>
      <c r="D73" s="155">
        <f>IF(D9=1,20%,IF(D9=2,20%,IF(D9=3,0%,IF(D9=4,20%,"RT Indefinido"))))</f>
        <v>0.2</v>
      </c>
      <c r="E73" s="156">
        <f>ROUND(E39*D73,2)</f>
        <v>373.8</v>
      </c>
      <c r="F73" s="4"/>
      <c r="G73" s="4"/>
    </row>
    <row r="74" spans="1:7" x14ac:dyDescent="0.25">
      <c r="A74" s="117" t="s">
        <v>4</v>
      </c>
      <c r="B74" s="437" t="s">
        <v>62</v>
      </c>
      <c r="C74" s="437"/>
      <c r="D74" s="155">
        <f>IF(D9=1,1.5%,IF(D9=2,1.5%,IF(D9=3,0%,IF(D9=4,0%,"RT Indefinido"))))</f>
        <v>0</v>
      </c>
      <c r="E74" s="156">
        <f>ROUND(E39*D74,2)</f>
        <v>0</v>
      </c>
      <c r="F74" s="4"/>
      <c r="G74" s="4"/>
    </row>
    <row r="75" spans="1:7" x14ac:dyDescent="0.25">
      <c r="A75" s="117" t="s">
        <v>5</v>
      </c>
      <c r="B75" s="437" t="s">
        <v>63</v>
      </c>
      <c r="C75" s="437"/>
      <c r="D75" s="155">
        <f>IF(D9=1,1%,IF(D9=2,1%,IF(D9=3,0%,IF(D9=4,0%,"RT Indefinido"))))</f>
        <v>0</v>
      </c>
      <c r="E75" s="156">
        <f>ROUND(E39*D75,2)</f>
        <v>0</v>
      </c>
      <c r="F75" s="4"/>
      <c r="G75" s="4"/>
    </row>
    <row r="76" spans="1:7" x14ac:dyDescent="0.25">
      <c r="A76" s="117" t="s">
        <v>6</v>
      </c>
      <c r="B76" s="471" t="s">
        <v>64</v>
      </c>
      <c r="C76" s="471"/>
      <c r="D76" s="157">
        <f>IF(D9=1,0.2%,IF(D9=2,0.2%,IF(D9=3,0%,IF(D9=4,0%,"RT Indefinido"))))</f>
        <v>0</v>
      </c>
      <c r="E76" s="158">
        <f>ROUND(E39*D76,2)</f>
        <v>0</v>
      </c>
      <c r="F76" s="4"/>
      <c r="G76" s="4"/>
    </row>
    <row r="77" spans="1:7" x14ac:dyDescent="0.25">
      <c r="A77" s="117" t="s">
        <v>31</v>
      </c>
      <c r="B77" s="437" t="s">
        <v>65</v>
      </c>
      <c r="C77" s="437"/>
      <c r="D77" s="155">
        <f>IF(D9=1,2.5%,IF(D9=2,2.5%,IF(D9=3,0%,IF(D9=4,0%,"RT Indefinido"))))</f>
        <v>0</v>
      </c>
      <c r="E77" s="156">
        <f>ROUND(E39*D77,2)</f>
        <v>0</v>
      </c>
      <c r="F77" s="4"/>
      <c r="G77" s="4"/>
    </row>
    <row r="78" spans="1:7" x14ac:dyDescent="0.25">
      <c r="A78" s="117" t="s">
        <v>32</v>
      </c>
      <c r="B78" s="456" t="s">
        <v>66</v>
      </c>
      <c r="C78" s="456"/>
      <c r="D78" s="155">
        <f>IF(D9=1,8%,IF(D9=2,8%,IF(D9=3,8%,IF(D9=4,8%,"RT Indefinido"))))</f>
        <v>0.08</v>
      </c>
      <c r="E78" s="156">
        <f>ROUND(E39*D78,2)</f>
        <v>149.52000000000001</v>
      </c>
      <c r="F78" s="4"/>
      <c r="G78" s="4"/>
    </row>
    <row r="79" spans="1:7" x14ac:dyDescent="0.25">
      <c r="A79" s="117" t="s">
        <v>33</v>
      </c>
      <c r="B79" s="470" t="s">
        <v>143</v>
      </c>
      <c r="C79" s="470"/>
      <c r="D79" s="159">
        <v>0.03</v>
      </c>
      <c r="E79" s="160">
        <f>ROUND(E39*D79,2)</f>
        <v>56.07</v>
      </c>
      <c r="F79" s="4"/>
      <c r="G79" s="4"/>
    </row>
    <row r="80" spans="1:7" x14ac:dyDescent="0.25">
      <c r="A80" s="117" t="s">
        <v>34</v>
      </c>
      <c r="B80" s="456" t="s">
        <v>67</v>
      </c>
      <c r="C80" s="456"/>
      <c r="D80" s="155">
        <f>IF(D9=1,0.6%,IF(D9=2,0.6%,IF(D9=3,0%,IF(D9=4,0%,"RT Indefinido"))))</f>
        <v>0</v>
      </c>
      <c r="E80" s="156">
        <f>ROUND(E39*D80,2)</f>
        <v>0</v>
      </c>
      <c r="F80" s="4"/>
      <c r="G80" s="4"/>
    </row>
    <row r="81" spans="1:7" x14ac:dyDescent="0.25">
      <c r="A81" s="455" t="s">
        <v>77</v>
      </c>
      <c r="B81" s="455"/>
      <c r="C81" s="455"/>
      <c r="D81" s="161">
        <f>SUM(D73:D80)</f>
        <v>0.31000000000000005</v>
      </c>
      <c r="E81" s="129">
        <f>ROUND(SUM(E73:E80),2)</f>
        <v>579.39</v>
      </c>
      <c r="F81" s="4"/>
      <c r="G81" s="4"/>
    </row>
    <row r="82" spans="1:7" x14ac:dyDescent="0.25">
      <c r="A82" s="138" t="s">
        <v>25</v>
      </c>
      <c r="B82" s="450" t="s">
        <v>69</v>
      </c>
      <c r="C82" s="450"/>
      <c r="D82" s="450"/>
      <c r="E82" s="451"/>
      <c r="F82" s="4"/>
      <c r="G82" s="4"/>
    </row>
    <row r="83" spans="1:7" x14ac:dyDescent="0.25">
      <c r="A83" s="162" t="s">
        <v>26</v>
      </c>
      <c r="B83" s="438" t="s">
        <v>70</v>
      </c>
      <c r="C83" s="438"/>
      <c r="D83" s="438"/>
      <c r="E83" s="439"/>
      <c r="F83" s="4"/>
      <c r="G83" s="4"/>
    </row>
    <row r="84" spans="1:7" x14ac:dyDescent="0.25">
      <c r="A84" s="108"/>
      <c r="B84" s="108"/>
      <c r="C84" s="108"/>
      <c r="D84" s="108"/>
      <c r="E84" s="108"/>
      <c r="F84" s="4"/>
      <c r="G84" s="4"/>
    </row>
    <row r="85" spans="1:7" x14ac:dyDescent="0.25">
      <c r="A85" s="481" t="s">
        <v>71</v>
      </c>
      <c r="B85" s="482"/>
      <c r="C85" s="481" t="s">
        <v>72</v>
      </c>
      <c r="D85" s="483"/>
      <c r="E85" s="482"/>
      <c r="F85" s="4"/>
      <c r="G85" s="4"/>
    </row>
    <row r="86" spans="1:7" x14ac:dyDescent="0.25">
      <c r="A86" s="128" t="s">
        <v>78</v>
      </c>
      <c r="B86" s="455" t="s">
        <v>72</v>
      </c>
      <c r="C86" s="455"/>
      <c r="D86" s="128" t="s">
        <v>68</v>
      </c>
      <c r="E86" s="128" t="s">
        <v>41</v>
      </c>
      <c r="F86" s="4"/>
      <c r="G86" s="4"/>
    </row>
    <row r="87" spans="1:7" x14ac:dyDescent="0.25">
      <c r="A87" s="117" t="s">
        <v>3</v>
      </c>
      <c r="B87" s="437" t="s">
        <v>73</v>
      </c>
      <c r="C87" s="437"/>
      <c r="D87" s="155">
        <f>100/12/100</f>
        <v>8.3333333333333343E-2</v>
      </c>
      <c r="E87" s="156">
        <f>ROUND(E39*D87,2)</f>
        <v>155.75</v>
      </c>
      <c r="F87" s="4"/>
      <c r="G87" s="4"/>
    </row>
    <row r="88" spans="1:7" x14ac:dyDescent="0.25">
      <c r="A88" s="117" t="s">
        <v>4</v>
      </c>
      <c r="B88" s="437" t="s">
        <v>74</v>
      </c>
      <c r="C88" s="437"/>
      <c r="D88" s="155">
        <f>100/12/100/3</f>
        <v>2.777777777777778E-2</v>
      </c>
      <c r="E88" s="156">
        <f>ROUND(E39*D88,2)</f>
        <v>51.92</v>
      </c>
      <c r="F88" s="4"/>
      <c r="G88" s="4"/>
    </row>
    <row r="89" spans="1:7" x14ac:dyDescent="0.25">
      <c r="A89" s="467" t="s">
        <v>75</v>
      </c>
      <c r="B89" s="468"/>
      <c r="C89" s="469"/>
      <c r="D89" s="163">
        <f>SUM(D87+D88)</f>
        <v>0.11111111111111112</v>
      </c>
      <c r="E89" s="164">
        <f>ROUND(SUM(E87+E88),2)</f>
        <v>207.67</v>
      </c>
      <c r="F89" s="4"/>
      <c r="G89" s="4"/>
    </row>
    <row r="90" spans="1:7" x14ac:dyDescent="0.25">
      <c r="A90" s="472" t="s">
        <v>5</v>
      </c>
      <c r="B90" s="516" t="s">
        <v>76</v>
      </c>
      <c r="C90" s="517"/>
      <c r="D90" s="520">
        <f>ROUND((E90*D89)/E89,4)</f>
        <v>3.44E-2</v>
      </c>
      <c r="E90" s="522">
        <f>ROUND(E89*D81,2)</f>
        <v>64.38</v>
      </c>
      <c r="F90" s="4"/>
      <c r="G90" s="4"/>
    </row>
    <row r="91" spans="1:7" x14ac:dyDescent="0.25">
      <c r="A91" s="473"/>
      <c r="B91" s="518"/>
      <c r="C91" s="519"/>
      <c r="D91" s="521"/>
      <c r="E91" s="523"/>
      <c r="F91" s="4"/>
      <c r="G91" s="4"/>
    </row>
    <row r="92" spans="1:7" x14ac:dyDescent="0.25">
      <c r="A92" s="455" t="s">
        <v>77</v>
      </c>
      <c r="B92" s="455"/>
      <c r="C92" s="455"/>
      <c r="D92" s="161">
        <f>SUM(D89:D91)</f>
        <v>0.14551111111111112</v>
      </c>
      <c r="E92" s="129">
        <f>ROUND(SUM(E89:E91),2)</f>
        <v>272.05</v>
      </c>
      <c r="F92" s="4"/>
      <c r="G92" s="4"/>
    </row>
    <row r="93" spans="1:7" x14ac:dyDescent="0.25">
      <c r="A93" s="108"/>
      <c r="B93" s="108"/>
      <c r="C93" s="108"/>
      <c r="D93" s="108"/>
      <c r="E93" s="108"/>
      <c r="F93" s="4"/>
      <c r="G93" s="4"/>
    </row>
    <row r="94" spans="1:7" x14ac:dyDescent="0.25">
      <c r="A94" s="481" t="s">
        <v>79</v>
      </c>
      <c r="B94" s="482"/>
      <c r="C94" s="481" t="s">
        <v>81</v>
      </c>
      <c r="D94" s="483"/>
      <c r="E94" s="482"/>
      <c r="F94" s="308" t="s">
        <v>81</v>
      </c>
      <c r="G94" s="308"/>
    </row>
    <row r="95" spans="1:7" x14ac:dyDescent="0.25">
      <c r="A95" s="128" t="s">
        <v>80</v>
      </c>
      <c r="B95" s="455" t="s">
        <v>81</v>
      </c>
      <c r="C95" s="455"/>
      <c r="D95" s="128" t="s">
        <v>68</v>
      </c>
      <c r="E95" s="128" t="s">
        <v>41</v>
      </c>
      <c r="F95" s="77" t="s">
        <v>161</v>
      </c>
      <c r="G95" s="78" t="s">
        <v>173</v>
      </c>
    </row>
    <row r="96" spans="1:7" x14ac:dyDescent="0.25">
      <c r="A96" s="117" t="s">
        <v>3</v>
      </c>
      <c r="B96" s="437" t="s">
        <v>81</v>
      </c>
      <c r="C96" s="437"/>
      <c r="D96" s="167">
        <f>(E96)/E39</f>
        <v>0</v>
      </c>
      <c r="E96" s="168">
        <f>IF(G95="S",(((1+1/3)*(4/12))*(E39))/12*2%,IF(G95="N",0,"INFORME S ou N"))</f>
        <v>0</v>
      </c>
      <c r="F96" s="4"/>
      <c r="G96" s="4"/>
    </row>
    <row r="97" spans="1:7" x14ac:dyDescent="0.25">
      <c r="A97" s="472" t="s">
        <v>4</v>
      </c>
      <c r="B97" s="516" t="s">
        <v>82</v>
      </c>
      <c r="C97" s="517"/>
      <c r="D97" s="520">
        <f>IF(G95="S",(ROUND((E97*D96)/E96,4)),0)</f>
        <v>0</v>
      </c>
      <c r="E97" s="522">
        <f>ROUND(D81*E96,2)</f>
        <v>0</v>
      </c>
      <c r="F97" s="4"/>
      <c r="G97" s="4"/>
    </row>
    <row r="98" spans="1:7" x14ac:dyDescent="0.25">
      <c r="A98" s="473"/>
      <c r="B98" s="518"/>
      <c r="C98" s="519"/>
      <c r="D98" s="521"/>
      <c r="E98" s="523"/>
      <c r="F98" s="4"/>
      <c r="G98" s="4"/>
    </row>
    <row r="99" spans="1:7" x14ac:dyDescent="0.25">
      <c r="A99" s="455" t="s">
        <v>77</v>
      </c>
      <c r="B99" s="455"/>
      <c r="C99" s="455"/>
      <c r="D99" s="161">
        <f>SUM(D96:D98)</f>
        <v>0</v>
      </c>
      <c r="E99" s="129">
        <f>ROUND(SUM(E96:E98),2)</f>
        <v>0</v>
      </c>
      <c r="F99" s="4"/>
      <c r="G99" s="4"/>
    </row>
    <row r="100" spans="1:7" x14ac:dyDescent="0.25">
      <c r="A100" s="108"/>
      <c r="B100" s="108"/>
      <c r="C100" s="108"/>
      <c r="D100" s="108"/>
      <c r="E100" s="108"/>
      <c r="F100" s="4"/>
      <c r="G100" s="4"/>
    </row>
    <row r="101" spans="1:7" x14ac:dyDescent="0.25">
      <c r="A101" s="481" t="s">
        <v>83</v>
      </c>
      <c r="B101" s="482"/>
      <c r="C101" s="481" t="s">
        <v>85</v>
      </c>
      <c r="D101" s="483"/>
      <c r="E101" s="482"/>
      <c r="F101" s="4"/>
      <c r="G101" s="4"/>
    </row>
    <row r="102" spans="1:7" x14ac:dyDescent="0.25">
      <c r="A102" s="128" t="s">
        <v>84</v>
      </c>
      <c r="B102" s="455" t="s">
        <v>85</v>
      </c>
      <c r="C102" s="455"/>
      <c r="D102" s="128" t="s">
        <v>68</v>
      </c>
      <c r="E102" s="128" t="s">
        <v>41</v>
      </c>
      <c r="F102" s="4"/>
      <c r="G102" s="4"/>
    </row>
    <row r="103" spans="1:7" x14ac:dyDescent="0.25">
      <c r="A103" s="117" t="s">
        <v>3</v>
      </c>
      <c r="B103" s="437" t="s">
        <v>91</v>
      </c>
      <c r="C103" s="437"/>
      <c r="D103" s="167">
        <f>ROUND(E103/E39,4)</f>
        <v>4.1999999999999997E-3</v>
      </c>
      <c r="E103" s="156">
        <f>ROUND((E39/12)*5/100,2)</f>
        <v>7.79</v>
      </c>
      <c r="F103" s="4"/>
      <c r="G103" s="4"/>
    </row>
    <row r="104" spans="1:7" x14ac:dyDescent="0.25">
      <c r="A104" s="143" t="s">
        <v>4</v>
      </c>
      <c r="B104" s="479" t="s">
        <v>144</v>
      </c>
      <c r="C104" s="480"/>
      <c r="D104" s="169">
        <f>ROUND(E104/E39,4)</f>
        <v>2.9999999999999997E-4</v>
      </c>
      <c r="E104" s="170">
        <f>ROUND(E103*0.08,2)</f>
        <v>0.62</v>
      </c>
      <c r="F104" s="4"/>
      <c r="G104" s="4"/>
    </row>
    <row r="105" spans="1:7" x14ac:dyDescent="0.25">
      <c r="A105" s="117" t="s">
        <v>5</v>
      </c>
      <c r="B105" s="437" t="s">
        <v>92</v>
      </c>
      <c r="C105" s="437"/>
      <c r="D105" s="167">
        <f>ROUND(E105/E39,4)</f>
        <v>2.3999999999999998E-3</v>
      </c>
      <c r="E105" s="156">
        <f>ROUND((((E39*0.08)*0.5)*0.06),2)</f>
        <v>4.49</v>
      </c>
      <c r="F105" s="4"/>
      <c r="G105" s="4"/>
    </row>
    <row r="106" spans="1:7" x14ac:dyDescent="0.25">
      <c r="A106" s="117" t="s">
        <v>6</v>
      </c>
      <c r="B106" s="437" t="s">
        <v>93</v>
      </c>
      <c r="C106" s="437"/>
      <c r="D106" s="167">
        <f>ROUND(E106/E39,4)</f>
        <v>2.3300000000000001E-2</v>
      </c>
      <c r="E106" s="171">
        <f>ROUND(((E39/30)*7)/E14,2)</f>
        <v>43.61</v>
      </c>
      <c r="F106" s="4"/>
      <c r="G106" s="4"/>
    </row>
    <row r="107" spans="1:7" x14ac:dyDescent="0.25">
      <c r="A107" s="143" t="s">
        <v>31</v>
      </c>
      <c r="B107" s="479" t="s">
        <v>94</v>
      </c>
      <c r="C107" s="480"/>
      <c r="D107" s="169">
        <f>ROUND(E107/E39,4)</f>
        <v>7.1999999999999998E-3</v>
      </c>
      <c r="E107" s="172">
        <f>ROUND(E106*D81,2)</f>
        <v>13.52</v>
      </c>
      <c r="F107" s="4"/>
      <c r="G107" s="4"/>
    </row>
    <row r="108" spans="1:7" x14ac:dyDescent="0.25">
      <c r="A108" s="173" t="s">
        <v>6</v>
      </c>
      <c r="B108" s="484" t="s">
        <v>146</v>
      </c>
      <c r="C108" s="485"/>
      <c r="D108" s="167">
        <f>ROUND(E108/E39,4)</f>
        <v>4.7600000000000003E-2</v>
      </c>
      <c r="E108" s="156">
        <f>ROUND((E39*0.08)*0.595,2)</f>
        <v>88.96</v>
      </c>
      <c r="F108" s="4"/>
      <c r="G108" s="4"/>
    </row>
    <row r="109" spans="1:7" x14ac:dyDescent="0.25">
      <c r="A109" s="455" t="s">
        <v>77</v>
      </c>
      <c r="B109" s="455"/>
      <c r="C109" s="455"/>
      <c r="D109" s="174">
        <f>ROUND(SUM(D103:D108),4)</f>
        <v>8.5000000000000006E-2</v>
      </c>
      <c r="E109" s="129">
        <f>ROUND(SUM(E103:E108),2)</f>
        <v>158.99</v>
      </c>
      <c r="F109" s="4"/>
      <c r="G109" s="4"/>
    </row>
    <row r="110" spans="1:7" x14ac:dyDescent="0.25">
      <c r="A110" s="108"/>
      <c r="B110" s="108"/>
      <c r="C110" s="108"/>
      <c r="D110" s="108"/>
      <c r="E110" s="108"/>
      <c r="F110" s="4"/>
      <c r="G110" s="4"/>
    </row>
    <row r="111" spans="1:7" x14ac:dyDescent="0.25">
      <c r="A111" s="481" t="s">
        <v>95</v>
      </c>
      <c r="B111" s="482"/>
      <c r="C111" s="481" t="s">
        <v>97</v>
      </c>
      <c r="D111" s="483"/>
      <c r="E111" s="482"/>
      <c r="F111" s="308" t="s">
        <v>88</v>
      </c>
      <c r="G111" s="308"/>
    </row>
    <row r="112" spans="1:7" x14ac:dyDescent="0.25">
      <c r="A112" s="175" t="s">
        <v>96</v>
      </c>
      <c r="B112" s="486" t="s">
        <v>98</v>
      </c>
      <c r="C112" s="487"/>
      <c r="D112" s="175" t="s">
        <v>68</v>
      </c>
      <c r="E112" s="175" t="s">
        <v>41</v>
      </c>
      <c r="F112" s="80" t="s">
        <v>161</v>
      </c>
      <c r="G112" s="81" t="s">
        <v>162</v>
      </c>
    </row>
    <row r="113" spans="1:7" x14ac:dyDescent="0.25">
      <c r="A113" s="117" t="s">
        <v>3</v>
      </c>
      <c r="B113" s="437" t="s">
        <v>86</v>
      </c>
      <c r="C113" s="437"/>
      <c r="D113" s="155">
        <f>(100/12/100)</f>
        <v>8.3333333333333343E-2</v>
      </c>
      <c r="E113" s="156">
        <f>ROUND(E39*D113,2)</f>
        <v>155.75</v>
      </c>
      <c r="F113" s="4"/>
      <c r="G113" s="4"/>
    </row>
    <row r="114" spans="1:7" x14ac:dyDescent="0.25">
      <c r="A114" s="143" t="s">
        <v>4</v>
      </c>
      <c r="B114" s="477" t="s">
        <v>87</v>
      </c>
      <c r="C114" s="478"/>
      <c r="D114" s="178">
        <f>E114/E39</f>
        <v>1.3889780631353665E-2</v>
      </c>
      <c r="E114" s="156">
        <f>ROUND(5/30*E39/12,2)</f>
        <v>25.96</v>
      </c>
      <c r="F114" s="4"/>
      <c r="G114" s="4"/>
    </row>
    <row r="115" spans="1:7" x14ac:dyDescent="0.25">
      <c r="A115" s="117" t="s">
        <v>5</v>
      </c>
      <c r="B115" s="437" t="s">
        <v>88</v>
      </c>
      <c r="C115" s="437"/>
      <c r="D115" s="155">
        <f>E115/E39</f>
        <v>2.0833333333333332E-4</v>
      </c>
      <c r="E115" s="179">
        <f>IF(G112="S",((((5/30)*(E39))/12)*0.015),IF(G112="N",0,"INFORME S ou N"))</f>
        <v>0.38937499999999997</v>
      </c>
      <c r="F115" s="4"/>
      <c r="G115" s="4"/>
    </row>
    <row r="116" spans="1:7" x14ac:dyDescent="0.25">
      <c r="A116" s="117" t="s">
        <v>6</v>
      </c>
      <c r="B116" s="437" t="s">
        <v>89</v>
      </c>
      <c r="C116" s="437"/>
      <c r="D116" s="155">
        <f>E116/E39</f>
        <v>2.7768860353130018E-3</v>
      </c>
      <c r="E116" s="156">
        <f>ROUND((1/30*E39)/12,2)</f>
        <v>5.19</v>
      </c>
      <c r="F116" s="4"/>
      <c r="G116" s="4"/>
    </row>
    <row r="117" spans="1:7" x14ac:dyDescent="0.25">
      <c r="A117" s="117" t="s">
        <v>31</v>
      </c>
      <c r="B117" s="475" t="s">
        <v>90</v>
      </c>
      <c r="C117" s="476"/>
      <c r="D117" s="155">
        <f>E117/E39</f>
        <v>3.2637774210807918E-4</v>
      </c>
      <c r="E117" s="156">
        <f>ROUND((((15/30)*E39)/12)*0.78%,2)</f>
        <v>0.61</v>
      </c>
      <c r="F117" s="4"/>
      <c r="G117" s="4"/>
    </row>
    <row r="118" spans="1:7" x14ac:dyDescent="0.25">
      <c r="A118" s="472" t="s">
        <v>32</v>
      </c>
      <c r="B118" s="490" t="s">
        <v>39</v>
      </c>
      <c r="C118" s="180"/>
      <c r="D118" s="181">
        <f>E118/E39</f>
        <v>0</v>
      </c>
      <c r="E118" s="182">
        <v>0</v>
      </c>
      <c r="F118" s="4"/>
      <c r="G118" s="4"/>
    </row>
    <row r="119" spans="1:7" x14ac:dyDescent="0.25">
      <c r="A119" s="473"/>
      <c r="B119" s="490"/>
      <c r="C119" s="183"/>
      <c r="D119" s="184">
        <v>0</v>
      </c>
      <c r="E119" s="185">
        <f>ROUND(E39*D119,2)</f>
        <v>0</v>
      </c>
      <c r="F119" s="4"/>
      <c r="G119" s="4"/>
    </row>
    <row r="120" spans="1:7" x14ac:dyDescent="0.25">
      <c r="A120" s="524" t="s">
        <v>75</v>
      </c>
      <c r="B120" s="525"/>
      <c r="C120" s="526"/>
      <c r="D120" s="186">
        <f>SUM(D113:D119)</f>
        <v>0.10053471107544143</v>
      </c>
      <c r="E120" s="164">
        <f>ROUND(SUM(E113:E119),2)</f>
        <v>187.9</v>
      </c>
      <c r="F120" s="4"/>
      <c r="G120" s="4"/>
    </row>
    <row r="121" spans="1:7" x14ac:dyDescent="0.25">
      <c r="A121" s="173" t="s">
        <v>33</v>
      </c>
      <c r="B121" s="479" t="s">
        <v>99</v>
      </c>
      <c r="C121" s="480"/>
      <c r="D121" s="169">
        <f>ROUND(E121/E39,4)</f>
        <v>3.1199999999999999E-2</v>
      </c>
      <c r="E121" s="172">
        <f>ROUND(E120*D81,2)</f>
        <v>58.25</v>
      </c>
      <c r="F121" s="4"/>
      <c r="G121" s="4"/>
    </row>
    <row r="122" spans="1:7" x14ac:dyDescent="0.25">
      <c r="A122" s="455" t="s">
        <v>77</v>
      </c>
      <c r="B122" s="455"/>
      <c r="C122" s="455"/>
      <c r="D122" s="174">
        <f>ROUND(D120+D121,4)</f>
        <v>0.13170000000000001</v>
      </c>
      <c r="E122" s="129">
        <f>ROUND(E120+E121,2)</f>
        <v>246.15</v>
      </c>
      <c r="F122" s="4"/>
      <c r="G122" s="4"/>
    </row>
    <row r="123" spans="1:7" x14ac:dyDescent="0.25">
      <c r="A123" s="108"/>
      <c r="B123" s="108"/>
      <c r="C123" s="108"/>
      <c r="D123" s="108"/>
      <c r="E123" s="108"/>
      <c r="F123" s="4"/>
      <c r="G123" s="4"/>
    </row>
    <row r="124" spans="1:7" x14ac:dyDescent="0.25">
      <c r="A124" s="481" t="s">
        <v>100</v>
      </c>
      <c r="B124" s="482"/>
      <c r="C124" s="481" t="s">
        <v>101</v>
      </c>
      <c r="D124" s="483"/>
      <c r="E124" s="482"/>
      <c r="F124" s="4"/>
      <c r="G124" s="4"/>
    </row>
    <row r="125" spans="1:7" x14ac:dyDescent="0.25">
      <c r="A125" s="175">
        <v>4</v>
      </c>
      <c r="B125" s="486" t="s">
        <v>102</v>
      </c>
      <c r="C125" s="487"/>
      <c r="D125" s="175" t="s">
        <v>68</v>
      </c>
      <c r="E125" s="175" t="s">
        <v>41</v>
      </c>
      <c r="F125" s="4"/>
      <c r="G125" s="4"/>
    </row>
    <row r="126" spans="1:7" x14ac:dyDescent="0.25">
      <c r="A126" s="117" t="s">
        <v>60</v>
      </c>
      <c r="B126" s="437" t="s">
        <v>59</v>
      </c>
      <c r="C126" s="437"/>
      <c r="D126" s="167">
        <f>D81</f>
        <v>0.31000000000000005</v>
      </c>
      <c r="E126" s="156">
        <f>E81</f>
        <v>579.39</v>
      </c>
      <c r="F126" s="4"/>
      <c r="G126" s="4"/>
    </row>
    <row r="127" spans="1:7" x14ac:dyDescent="0.25">
      <c r="A127" s="143" t="s">
        <v>78</v>
      </c>
      <c r="B127" s="477" t="s">
        <v>72</v>
      </c>
      <c r="C127" s="478"/>
      <c r="D127" s="169">
        <f>D92</f>
        <v>0.14551111111111112</v>
      </c>
      <c r="E127" s="156">
        <f>E92</f>
        <v>272.05</v>
      </c>
      <c r="F127" s="4"/>
      <c r="G127" s="4"/>
    </row>
    <row r="128" spans="1:7" x14ac:dyDescent="0.25">
      <c r="A128" s="117" t="s">
        <v>80</v>
      </c>
      <c r="B128" s="437" t="s">
        <v>81</v>
      </c>
      <c r="C128" s="437"/>
      <c r="D128" s="167">
        <f>D99</f>
        <v>0</v>
      </c>
      <c r="E128" s="156">
        <f>E99</f>
        <v>0</v>
      </c>
      <c r="F128" s="4"/>
      <c r="G128" s="4"/>
    </row>
    <row r="129" spans="1:7" x14ac:dyDescent="0.25">
      <c r="A129" s="117" t="s">
        <v>84</v>
      </c>
      <c r="B129" s="437" t="s">
        <v>85</v>
      </c>
      <c r="C129" s="437"/>
      <c r="D129" s="167">
        <f>D109</f>
        <v>8.5000000000000006E-2</v>
      </c>
      <c r="E129" s="156">
        <f>E109</f>
        <v>158.99</v>
      </c>
      <c r="F129" s="4"/>
      <c r="G129" s="4"/>
    </row>
    <row r="130" spans="1:7" x14ac:dyDescent="0.25">
      <c r="A130" s="117" t="s">
        <v>96</v>
      </c>
      <c r="B130" s="475" t="s">
        <v>104</v>
      </c>
      <c r="C130" s="476"/>
      <c r="D130" s="167">
        <f>D122</f>
        <v>0.13170000000000001</v>
      </c>
      <c r="E130" s="156">
        <f>E122</f>
        <v>246.15</v>
      </c>
      <c r="F130" s="4"/>
      <c r="G130" s="4"/>
    </row>
    <row r="131" spans="1:7" x14ac:dyDescent="0.25">
      <c r="A131" s="472" t="s">
        <v>103</v>
      </c>
      <c r="B131" s="490" t="s">
        <v>39</v>
      </c>
      <c r="C131" s="180"/>
      <c r="D131" s="187">
        <v>0</v>
      </c>
      <c r="E131" s="185">
        <f>E54*D131</f>
        <v>0</v>
      </c>
      <c r="F131" s="4"/>
      <c r="G131" s="4"/>
    </row>
    <row r="132" spans="1:7" x14ac:dyDescent="0.25">
      <c r="A132" s="473"/>
      <c r="B132" s="490"/>
      <c r="C132" s="188"/>
      <c r="D132" s="189">
        <v>0</v>
      </c>
      <c r="E132" s="185">
        <f>E54*D132</f>
        <v>0</v>
      </c>
      <c r="F132" s="4"/>
      <c r="G132" s="4"/>
    </row>
    <row r="133" spans="1:7" x14ac:dyDescent="0.25">
      <c r="A133" s="455" t="s">
        <v>77</v>
      </c>
      <c r="B133" s="455"/>
      <c r="C133" s="455"/>
      <c r="D133" s="174">
        <f>SUM(D126:D132)</f>
        <v>0.6722111111111112</v>
      </c>
      <c r="E133" s="129">
        <f>ROUND(SUM(E126:E132),2)</f>
        <v>1256.58</v>
      </c>
      <c r="F133" s="4"/>
      <c r="G133" s="4"/>
    </row>
    <row r="134" spans="1:7" x14ac:dyDescent="0.25">
      <c r="A134" s="108"/>
      <c r="B134" s="108"/>
      <c r="C134" s="108"/>
      <c r="D134" s="108"/>
      <c r="E134" s="108"/>
      <c r="F134" s="4"/>
      <c r="G134" s="4"/>
    </row>
    <row r="135" spans="1:7" x14ac:dyDescent="0.25">
      <c r="A135" s="454" t="s">
        <v>105</v>
      </c>
      <c r="B135" s="454"/>
      <c r="C135" s="454" t="s">
        <v>106</v>
      </c>
      <c r="D135" s="454"/>
      <c r="E135" s="454"/>
      <c r="F135" s="4"/>
      <c r="G135" s="4"/>
    </row>
    <row r="136" spans="1:7" x14ac:dyDescent="0.25">
      <c r="A136" s="128">
        <v>5</v>
      </c>
      <c r="B136" s="455" t="s">
        <v>107</v>
      </c>
      <c r="C136" s="455"/>
      <c r="D136" s="128" t="s">
        <v>68</v>
      </c>
      <c r="E136" s="128" t="s">
        <v>41</v>
      </c>
      <c r="F136" s="4"/>
      <c r="G136" s="4"/>
    </row>
    <row r="137" spans="1:7" x14ac:dyDescent="0.25">
      <c r="A137" s="472" t="s">
        <v>3</v>
      </c>
      <c r="B137" s="527" t="s">
        <v>151</v>
      </c>
      <c r="C137" s="528"/>
      <c r="D137" s="529"/>
      <c r="E137" s="190">
        <f>E39+E54+E67+E133</f>
        <v>7805.046666666668</v>
      </c>
      <c r="F137" s="4"/>
      <c r="G137" s="4"/>
    </row>
    <row r="138" spans="1:7" x14ac:dyDescent="0.25">
      <c r="A138" s="473"/>
      <c r="B138" s="437" t="s">
        <v>108</v>
      </c>
      <c r="C138" s="437"/>
      <c r="D138" s="191">
        <v>5.8999999999999997E-2</v>
      </c>
      <c r="E138" s="192">
        <f>E137*D138</f>
        <v>460.49775333333338</v>
      </c>
      <c r="F138" s="4"/>
      <c r="G138" s="4"/>
    </row>
    <row r="139" spans="1:7" x14ac:dyDescent="0.25">
      <c r="A139" s="530" t="s">
        <v>4</v>
      </c>
      <c r="B139" s="533" t="s">
        <v>109</v>
      </c>
      <c r="C139" s="534"/>
      <c r="D139" s="534"/>
      <c r="E139" s="535"/>
      <c r="F139" s="4"/>
      <c r="G139" s="4"/>
    </row>
    <row r="140" spans="1:7" x14ac:dyDescent="0.25">
      <c r="A140" s="531"/>
      <c r="B140" s="536" t="s">
        <v>110</v>
      </c>
      <c r="C140" s="130" t="s">
        <v>141</v>
      </c>
      <c r="D140" s="155">
        <v>0</v>
      </c>
      <c r="E140" s="192">
        <f>ROUND((E164+E138+E152)/(1-D150)*D140,2)</f>
        <v>0</v>
      </c>
      <c r="F140" s="4"/>
      <c r="G140" s="4"/>
    </row>
    <row r="141" spans="1:7" x14ac:dyDescent="0.25">
      <c r="A141" s="531"/>
      <c r="B141" s="537"/>
      <c r="C141" s="130" t="s">
        <v>112</v>
      </c>
      <c r="D141" s="155">
        <v>0</v>
      </c>
      <c r="E141" s="192">
        <f>ROUND((E164+E138+E152)/(1-D150)*D141,2)</f>
        <v>0</v>
      </c>
      <c r="F141" s="4"/>
      <c r="G141" s="4"/>
    </row>
    <row r="142" spans="1:7" x14ac:dyDescent="0.25">
      <c r="A142" s="531"/>
      <c r="B142" s="537"/>
      <c r="C142" s="130" t="s">
        <v>111</v>
      </c>
      <c r="D142" s="155">
        <f>IF(D9=1,7.6%,IF(D9=2,3%,IF(D9=3,C172,IF(D9=4,C172,"RT Indefinido"))))</f>
        <v>0</v>
      </c>
      <c r="E142" s="192">
        <f>ROUND((E164+E138+E152)/(1-D150)*D142,2)</f>
        <v>0</v>
      </c>
      <c r="F142" s="4"/>
      <c r="G142" s="4"/>
    </row>
    <row r="143" spans="1:7" x14ac:dyDescent="0.25">
      <c r="A143" s="531"/>
      <c r="B143" s="538"/>
      <c r="C143" s="193" t="s">
        <v>113</v>
      </c>
      <c r="D143" s="155">
        <f>IF(D9=1,1.65%,IF(D9=2,0.65%,IF(D9=3,C173,IF(D9=4,C173,"RT Indefinido"))))</f>
        <v>0</v>
      </c>
      <c r="E143" s="192">
        <f>ROUND((E164+E138+E152)/(1-D150)*D143,2)</f>
        <v>0</v>
      </c>
      <c r="F143" s="4"/>
      <c r="G143" s="4"/>
    </row>
    <row r="144" spans="1:7" x14ac:dyDescent="0.25">
      <c r="A144" s="531"/>
      <c r="B144" s="490" t="s">
        <v>114</v>
      </c>
      <c r="C144" s="193"/>
      <c r="D144" s="178">
        <v>0</v>
      </c>
      <c r="E144" s="192">
        <f>ROUND((E164+E138+E152)/(1-D150)*D144,2)</f>
        <v>0</v>
      </c>
      <c r="F144" s="4"/>
      <c r="G144" s="4"/>
    </row>
    <row r="145" spans="1:7" x14ac:dyDescent="0.25">
      <c r="A145" s="531"/>
      <c r="B145" s="490"/>
      <c r="C145" s="193"/>
      <c r="D145" s="178">
        <v>0</v>
      </c>
      <c r="E145" s="192">
        <f>ROUND((E164+E141+E152)/(1-D150)*D145,2)</f>
        <v>0</v>
      </c>
      <c r="F145" s="4"/>
      <c r="G145" s="4"/>
    </row>
    <row r="146" spans="1:7" x14ac:dyDescent="0.25">
      <c r="A146" s="531"/>
      <c r="B146" s="539" t="s">
        <v>115</v>
      </c>
      <c r="C146" s="193" t="s">
        <v>116</v>
      </c>
      <c r="D146" s="194">
        <v>0.03</v>
      </c>
      <c r="E146" s="192">
        <f>ROUND((E164+E138+E152)/(1-D150)*D146,2)</f>
        <v>332.33</v>
      </c>
      <c r="F146" s="4"/>
      <c r="G146" s="4"/>
    </row>
    <row r="147" spans="1:7" x14ac:dyDescent="0.25">
      <c r="A147" s="531"/>
      <c r="B147" s="539"/>
      <c r="C147" s="193"/>
      <c r="D147" s="178">
        <v>0</v>
      </c>
      <c r="E147" s="192">
        <f>ROUND((E164+E138+E152)/(1-D161)*D147,2)</f>
        <v>0</v>
      </c>
      <c r="F147" s="4"/>
      <c r="G147" s="4"/>
    </row>
    <row r="148" spans="1:7" x14ac:dyDescent="0.25">
      <c r="A148" s="531"/>
      <c r="B148" s="540" t="s">
        <v>117</v>
      </c>
      <c r="C148" s="193" t="s">
        <v>142</v>
      </c>
      <c r="D148" s="178">
        <f>IF(D9=3,C174,0%)</f>
        <v>0</v>
      </c>
      <c r="E148" s="192">
        <f>ROUND((E164+E138+E152)/(1-D150)*D148,2)</f>
        <v>0</v>
      </c>
      <c r="F148" s="4"/>
      <c r="G148" s="4"/>
    </row>
    <row r="149" spans="1:7" x14ac:dyDescent="0.25">
      <c r="A149" s="531"/>
      <c r="B149" s="541"/>
      <c r="C149" s="193"/>
      <c r="D149" s="178">
        <v>0</v>
      </c>
      <c r="E149" s="192">
        <f>ROUND((E164+E138+E152)/(1-D152)*D149,2)</f>
        <v>0</v>
      </c>
      <c r="F149" s="4"/>
      <c r="G149" s="4"/>
    </row>
    <row r="150" spans="1:7" x14ac:dyDescent="0.25">
      <c r="A150" s="532"/>
      <c r="B150" s="488" t="s">
        <v>145</v>
      </c>
      <c r="C150" s="489"/>
      <c r="D150" s="186">
        <f>SUM(D140:D149)</f>
        <v>0.03</v>
      </c>
      <c r="E150" s="129">
        <f>ROUND(((E164+E138+E152)/(1-D150))*D150,2)</f>
        <v>332.33</v>
      </c>
      <c r="F150" s="93"/>
      <c r="G150" s="4"/>
    </row>
    <row r="151" spans="1:7" x14ac:dyDescent="0.25">
      <c r="A151" s="472" t="s">
        <v>5</v>
      </c>
      <c r="B151" s="527" t="s">
        <v>152</v>
      </c>
      <c r="C151" s="528"/>
      <c r="D151" s="529"/>
      <c r="E151" s="190">
        <f>E39+E54+E67+E133+E138</f>
        <v>8265.544420000002</v>
      </c>
      <c r="F151" s="4"/>
      <c r="G151" s="4"/>
    </row>
    <row r="152" spans="1:7" x14ac:dyDescent="0.25">
      <c r="A152" s="473"/>
      <c r="B152" s="456" t="s">
        <v>118</v>
      </c>
      <c r="C152" s="456"/>
      <c r="D152" s="196">
        <v>0.3</v>
      </c>
      <c r="E152" s="192">
        <f>(E151*D152)</f>
        <v>2479.6633260000003</v>
      </c>
      <c r="F152" s="4"/>
      <c r="G152" s="4"/>
    </row>
    <row r="153" spans="1:7" x14ac:dyDescent="0.25">
      <c r="A153" s="455" t="s">
        <v>77</v>
      </c>
      <c r="B153" s="455"/>
      <c r="C153" s="455"/>
      <c r="D153" s="161">
        <f>ROUND(SUM(D138+D150+D152),4)</f>
        <v>0.38900000000000001</v>
      </c>
      <c r="E153" s="129">
        <f>E138+E150+E152</f>
        <v>3272.4910793333338</v>
      </c>
      <c r="F153" s="4"/>
      <c r="G153" s="4"/>
    </row>
    <row r="154" spans="1:7" x14ac:dyDescent="0.25">
      <c r="A154" s="138" t="s">
        <v>25</v>
      </c>
      <c r="B154" s="450" t="s">
        <v>119</v>
      </c>
      <c r="C154" s="450"/>
      <c r="D154" s="450"/>
      <c r="E154" s="451"/>
      <c r="F154" s="4"/>
      <c r="G154" s="4"/>
    </row>
    <row r="155" spans="1:7" x14ac:dyDescent="0.25">
      <c r="A155" s="162" t="s">
        <v>26</v>
      </c>
      <c r="B155" s="438" t="s">
        <v>120</v>
      </c>
      <c r="C155" s="438"/>
      <c r="D155" s="438"/>
      <c r="E155" s="439"/>
      <c r="F155" s="4"/>
      <c r="G155" s="4"/>
    </row>
    <row r="156" spans="1:7" x14ac:dyDescent="0.25">
      <c r="A156" s="197"/>
      <c r="B156" s="198"/>
      <c r="C156" s="198"/>
      <c r="D156" s="198"/>
      <c r="E156" s="198"/>
      <c r="F156" s="4"/>
      <c r="G156" s="4"/>
    </row>
    <row r="157" spans="1:7" x14ac:dyDescent="0.25">
      <c r="A157" s="440" t="s">
        <v>178</v>
      </c>
      <c r="B157" s="440"/>
      <c r="C157" s="440"/>
      <c r="D157" s="440"/>
      <c r="E157" s="440"/>
      <c r="F157" s="4"/>
      <c r="G157" s="4"/>
    </row>
    <row r="158" spans="1:7" x14ac:dyDescent="0.25">
      <c r="A158" s="454" t="s">
        <v>121</v>
      </c>
      <c r="B158" s="454"/>
      <c r="C158" s="454"/>
      <c r="D158" s="454"/>
      <c r="E158" s="454"/>
      <c r="F158" s="4"/>
      <c r="G158" s="4"/>
    </row>
    <row r="159" spans="1:7" x14ac:dyDescent="0.25">
      <c r="A159" s="442" t="s">
        <v>122</v>
      </c>
      <c r="B159" s="442"/>
      <c r="C159" s="442"/>
      <c r="D159" s="442"/>
      <c r="E159" s="120" t="s">
        <v>129</v>
      </c>
      <c r="F159" s="4"/>
      <c r="G159" s="4"/>
    </row>
    <row r="160" spans="1:7" x14ac:dyDescent="0.25">
      <c r="A160" s="117" t="s">
        <v>3</v>
      </c>
      <c r="B160" s="437" t="s">
        <v>125</v>
      </c>
      <c r="C160" s="437"/>
      <c r="D160" s="437"/>
      <c r="E160" s="199">
        <f>E39</f>
        <v>1869</v>
      </c>
      <c r="F160" s="4"/>
      <c r="G160" s="4"/>
    </row>
    <row r="161" spans="1:7" x14ac:dyDescent="0.25">
      <c r="A161" s="117" t="s">
        <v>4</v>
      </c>
      <c r="B161" s="437" t="s">
        <v>126</v>
      </c>
      <c r="C161" s="437"/>
      <c r="D161" s="437"/>
      <c r="E161" s="199">
        <f>E54</f>
        <v>143.22</v>
      </c>
      <c r="F161" s="4"/>
      <c r="G161" s="4"/>
    </row>
    <row r="162" spans="1:7" x14ac:dyDescent="0.25">
      <c r="A162" s="117" t="s">
        <v>5</v>
      </c>
      <c r="B162" s="437" t="s">
        <v>127</v>
      </c>
      <c r="C162" s="437"/>
      <c r="D162" s="437"/>
      <c r="E162" s="199">
        <f>E67</f>
        <v>4536.2466666666678</v>
      </c>
      <c r="F162" s="4"/>
      <c r="G162" s="4"/>
    </row>
    <row r="163" spans="1:7" x14ac:dyDescent="0.25">
      <c r="A163" s="117" t="s">
        <v>6</v>
      </c>
      <c r="B163" s="437" t="s">
        <v>102</v>
      </c>
      <c r="C163" s="437"/>
      <c r="D163" s="437"/>
      <c r="E163" s="199">
        <f>E133</f>
        <v>1256.58</v>
      </c>
      <c r="F163" s="4"/>
      <c r="G163" s="4"/>
    </row>
    <row r="164" spans="1:7" x14ac:dyDescent="0.25">
      <c r="A164" s="455" t="s">
        <v>123</v>
      </c>
      <c r="B164" s="455"/>
      <c r="C164" s="455"/>
      <c r="D164" s="455"/>
      <c r="E164" s="200">
        <f>SUM(E160:E163)</f>
        <v>7805.046666666668</v>
      </c>
      <c r="F164" s="4"/>
      <c r="G164" s="4"/>
    </row>
    <row r="165" spans="1:7" x14ac:dyDescent="0.25">
      <c r="A165" s="117" t="s">
        <v>31</v>
      </c>
      <c r="B165" s="475" t="s">
        <v>128</v>
      </c>
      <c r="C165" s="496"/>
      <c r="D165" s="476"/>
      <c r="E165" s="199">
        <f>E153</f>
        <v>3272.4910793333338</v>
      </c>
      <c r="F165" s="4"/>
      <c r="G165" s="4"/>
    </row>
    <row r="166" spans="1:7" x14ac:dyDescent="0.25">
      <c r="A166" s="467" t="s">
        <v>124</v>
      </c>
      <c r="B166" s="468"/>
      <c r="C166" s="468"/>
      <c r="D166" s="468"/>
      <c r="E166" s="200">
        <f>E164+E165</f>
        <v>11077.537746000002</v>
      </c>
      <c r="F166" s="93"/>
      <c r="G166" s="4"/>
    </row>
    <row r="167" spans="1:7" x14ac:dyDescent="0.25">
      <c r="A167" s="467" t="s">
        <v>175</v>
      </c>
      <c r="B167" s="468"/>
      <c r="C167" s="468"/>
      <c r="D167" s="468"/>
      <c r="E167" s="200">
        <f>ROUND((E166/D18),2)</f>
        <v>5.58</v>
      </c>
      <c r="F167" s="4"/>
      <c r="G167" s="4"/>
    </row>
    <row r="168" spans="1:7" x14ac:dyDescent="0.25">
      <c r="A168" s="108"/>
      <c r="B168" s="108"/>
      <c r="C168" s="108"/>
      <c r="D168" s="108"/>
      <c r="E168" s="108"/>
      <c r="F168" s="4"/>
      <c r="G168" s="4"/>
    </row>
    <row r="169" spans="1:7" x14ac:dyDescent="0.25">
      <c r="A169" s="108"/>
      <c r="B169" s="542" t="s">
        <v>159</v>
      </c>
      <c r="C169" s="542"/>
      <c r="D169" s="542"/>
      <c r="E169" s="542"/>
      <c r="F169" s="4"/>
      <c r="G169" s="4"/>
    </row>
    <row r="170" spans="1:7" x14ac:dyDescent="0.25">
      <c r="A170" s="108"/>
      <c r="B170" s="543" t="s">
        <v>155</v>
      </c>
      <c r="C170" s="543"/>
      <c r="D170" s="544" t="s">
        <v>160</v>
      </c>
      <c r="E170" s="544"/>
      <c r="F170" s="4"/>
      <c r="G170" s="4"/>
    </row>
    <row r="171" spans="1:7" x14ac:dyDescent="0.25">
      <c r="A171" s="108"/>
      <c r="B171" s="201" t="s">
        <v>156</v>
      </c>
      <c r="C171" s="201" t="s">
        <v>157</v>
      </c>
      <c r="D171" s="545">
        <v>120000</v>
      </c>
      <c r="E171" s="545"/>
      <c r="F171" s="4"/>
      <c r="G171" s="4"/>
    </row>
    <row r="172" spans="1:7" x14ac:dyDescent="0.25">
      <c r="A172" s="108"/>
      <c r="B172" s="201" t="s">
        <v>111</v>
      </c>
      <c r="C172" s="202">
        <v>0</v>
      </c>
      <c r="D172" s="546" t="s">
        <v>176</v>
      </c>
      <c r="E172" s="547"/>
      <c r="F172" s="4"/>
      <c r="G172" s="4"/>
    </row>
    <row r="173" spans="1:7" x14ac:dyDescent="0.25">
      <c r="A173" s="108"/>
      <c r="B173" s="201" t="s">
        <v>113</v>
      </c>
      <c r="C173" s="202">
        <v>0</v>
      </c>
      <c r="D173" s="548"/>
      <c r="E173" s="549"/>
      <c r="F173" s="4"/>
      <c r="G173" s="4"/>
    </row>
    <row r="174" spans="1:7" x14ac:dyDescent="0.25">
      <c r="A174" s="108"/>
      <c r="B174" s="201" t="s">
        <v>158</v>
      </c>
      <c r="C174" s="202">
        <v>0</v>
      </c>
      <c r="D174" s="108"/>
      <c r="E174" s="108"/>
      <c r="F174" s="4"/>
      <c r="G174" s="4"/>
    </row>
    <row r="175" spans="1:7" x14ac:dyDescent="0.25">
      <c r="A175" s="4"/>
      <c r="B175" s="4"/>
      <c r="C175" s="4"/>
      <c r="D175" s="4"/>
      <c r="E175" s="4"/>
      <c r="F175" s="4"/>
      <c r="G175" s="4"/>
    </row>
    <row r="176" spans="1:7" x14ac:dyDescent="0.25">
      <c r="A176" s="4"/>
      <c r="B176" s="4"/>
      <c r="C176" s="4"/>
      <c r="D176" s="4"/>
      <c r="E176" s="4"/>
      <c r="F176" s="4"/>
      <c r="G176" s="4"/>
    </row>
    <row r="177" spans="1:7" x14ac:dyDescent="0.25">
      <c r="A177" s="4"/>
      <c r="B177" s="4"/>
      <c r="C177" s="4"/>
      <c r="D177" s="4"/>
      <c r="E177" s="4"/>
      <c r="F177" s="4"/>
      <c r="G177" s="4"/>
    </row>
    <row r="178" spans="1:7" x14ac:dyDescent="0.25">
      <c r="A178" s="4"/>
      <c r="B178" s="4"/>
      <c r="C178" s="4"/>
      <c r="D178" s="4"/>
      <c r="E178" s="4"/>
      <c r="F178" s="4"/>
      <c r="G178" s="4"/>
    </row>
    <row r="179" spans="1:7" x14ac:dyDescent="0.25">
      <c r="A179" s="4"/>
      <c r="B179" s="4"/>
      <c r="C179" s="4"/>
      <c r="D179" s="4"/>
      <c r="E179" s="4"/>
      <c r="F179" s="4"/>
      <c r="G179" s="4"/>
    </row>
    <row r="180" spans="1:7" x14ac:dyDescent="0.25">
      <c r="A180" s="4"/>
      <c r="B180" s="4"/>
      <c r="C180" s="4"/>
      <c r="D180" s="4"/>
      <c r="E180" s="4"/>
      <c r="F180" s="4"/>
      <c r="G180" s="4"/>
    </row>
  </sheetData>
  <mergeCells count="186"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  <mergeCell ref="A118:A119"/>
    <mergeCell ref="B118:B119"/>
    <mergeCell ref="A120:C120"/>
    <mergeCell ref="A122:C122"/>
    <mergeCell ref="A124:B124"/>
    <mergeCell ref="C124:E124"/>
    <mergeCell ref="A151:A152"/>
    <mergeCell ref="B151:D151"/>
    <mergeCell ref="B152:C152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F111:G111"/>
    <mergeCell ref="B112:C112"/>
    <mergeCell ref="B113:C113"/>
    <mergeCell ref="A97:A98"/>
    <mergeCell ref="B97:C98"/>
    <mergeCell ref="D97:D98"/>
    <mergeCell ref="E97:E98"/>
    <mergeCell ref="A99:C99"/>
    <mergeCell ref="A101:B101"/>
    <mergeCell ref="C101:E101"/>
    <mergeCell ref="B83:E83"/>
    <mergeCell ref="A85:B85"/>
    <mergeCell ref="C85:E85"/>
    <mergeCell ref="A90:A91"/>
    <mergeCell ref="B90:C91"/>
    <mergeCell ref="D90:D91"/>
    <mergeCell ref="E90:E91"/>
    <mergeCell ref="A70:B70"/>
    <mergeCell ref="A71:B71"/>
    <mergeCell ref="C71:E71"/>
    <mergeCell ref="B72:C72"/>
    <mergeCell ref="B73:C73"/>
    <mergeCell ref="B74:C74"/>
    <mergeCell ref="E63:E64"/>
    <mergeCell ref="A65:A66"/>
    <mergeCell ref="B65:B66"/>
    <mergeCell ref="E65:E66"/>
    <mergeCell ref="A54:D54"/>
    <mergeCell ref="B55:E55"/>
    <mergeCell ref="B56:E56"/>
    <mergeCell ref="A58:B58"/>
    <mergeCell ref="C58:E58"/>
    <mergeCell ref="B59:D59"/>
    <mergeCell ref="A51:A53"/>
    <mergeCell ref="B51:B53"/>
    <mergeCell ref="C51:D51"/>
    <mergeCell ref="C52:D52"/>
    <mergeCell ref="C53:D53"/>
    <mergeCell ref="B36:D36"/>
    <mergeCell ref="A37:A38"/>
    <mergeCell ref="B37:B38"/>
    <mergeCell ref="A63:A64"/>
    <mergeCell ref="B63:B64"/>
    <mergeCell ref="B31:D31"/>
    <mergeCell ref="B32:E32"/>
    <mergeCell ref="A33:B33"/>
    <mergeCell ref="C33:E33"/>
    <mergeCell ref="B34:D34"/>
    <mergeCell ref="B35:D35"/>
    <mergeCell ref="B48:D48"/>
    <mergeCell ref="B49:D49"/>
    <mergeCell ref="B50:D50"/>
    <mergeCell ref="E45:E47"/>
    <mergeCell ref="A42:A44"/>
    <mergeCell ref="E37:E38"/>
    <mergeCell ref="A39:D39"/>
    <mergeCell ref="A40:B40"/>
    <mergeCell ref="C40:E40"/>
    <mergeCell ref="A1:E1"/>
    <mergeCell ref="A2:E2"/>
    <mergeCell ref="A3:E3"/>
    <mergeCell ref="B4:C4"/>
    <mergeCell ref="A7:B7"/>
    <mergeCell ref="C7:E7"/>
    <mergeCell ref="B11:D11"/>
    <mergeCell ref="B14:D14"/>
    <mergeCell ref="A10:E10"/>
    <mergeCell ref="B12:C12"/>
    <mergeCell ref="D12:E12"/>
    <mergeCell ref="B13:D13"/>
    <mergeCell ref="A6:E6"/>
    <mergeCell ref="A8:B8"/>
    <mergeCell ref="C8:E8"/>
    <mergeCell ref="A9:C9"/>
    <mergeCell ref="A159:D159"/>
    <mergeCell ref="B160:D160"/>
    <mergeCell ref="B161:D161"/>
    <mergeCell ref="A157:E157"/>
    <mergeCell ref="A158:E158"/>
    <mergeCell ref="B125:C125"/>
    <mergeCell ref="B126:C126"/>
    <mergeCell ref="B127:C127"/>
    <mergeCell ref="B121:C121"/>
    <mergeCell ref="B150:C150"/>
    <mergeCell ref="B130:C130"/>
    <mergeCell ref="A131:A132"/>
    <mergeCell ref="A133:C133"/>
    <mergeCell ref="B128:C128"/>
    <mergeCell ref="B129:C129"/>
    <mergeCell ref="B131:B132"/>
    <mergeCell ref="A135:B135"/>
    <mergeCell ref="C135:E135"/>
    <mergeCell ref="B136:C136"/>
    <mergeCell ref="A153:C153"/>
    <mergeCell ref="B154:E154"/>
    <mergeCell ref="B155:E155"/>
    <mergeCell ref="B115:C115"/>
    <mergeCell ref="B117:C117"/>
    <mergeCell ref="B114:C114"/>
    <mergeCell ref="B102:C102"/>
    <mergeCell ref="B103:C103"/>
    <mergeCell ref="B104:C104"/>
    <mergeCell ref="A92:C92"/>
    <mergeCell ref="A94:B94"/>
    <mergeCell ref="C94:E94"/>
    <mergeCell ref="B116:C116"/>
    <mergeCell ref="B105:C105"/>
    <mergeCell ref="B106:C106"/>
    <mergeCell ref="B107:C107"/>
    <mergeCell ref="B108:C108"/>
    <mergeCell ref="B95:C95"/>
    <mergeCell ref="B96:C96"/>
    <mergeCell ref="A109:C109"/>
    <mergeCell ref="A111:B111"/>
    <mergeCell ref="C111:E111"/>
    <mergeCell ref="F94:G94"/>
    <mergeCell ref="B80:C80"/>
    <mergeCell ref="A81:C81"/>
    <mergeCell ref="B82:E82"/>
    <mergeCell ref="A67:D67"/>
    <mergeCell ref="B68:E68"/>
    <mergeCell ref="B60:B61"/>
    <mergeCell ref="E60:E61"/>
    <mergeCell ref="B41:D41"/>
    <mergeCell ref="B42:B44"/>
    <mergeCell ref="E42:E44"/>
    <mergeCell ref="B45:B47"/>
    <mergeCell ref="B86:C86"/>
    <mergeCell ref="B87:C87"/>
    <mergeCell ref="B88:C88"/>
    <mergeCell ref="A89:C89"/>
    <mergeCell ref="B79:C79"/>
    <mergeCell ref="B75:C75"/>
    <mergeCell ref="B76:C76"/>
    <mergeCell ref="B78:C78"/>
    <mergeCell ref="B77:C77"/>
    <mergeCell ref="C70:E70"/>
    <mergeCell ref="A60:A61"/>
    <mergeCell ref="A45:A47"/>
    <mergeCell ref="B28:D28"/>
    <mergeCell ref="B29:D29"/>
    <mergeCell ref="B30:D30"/>
    <mergeCell ref="B22:E22"/>
    <mergeCell ref="A24:E24"/>
    <mergeCell ref="A15:E15"/>
    <mergeCell ref="A16:B16"/>
    <mergeCell ref="D16:E16"/>
    <mergeCell ref="A17:B17"/>
    <mergeCell ref="D17:E17"/>
    <mergeCell ref="A18:C18"/>
    <mergeCell ref="D18:E18"/>
    <mergeCell ref="B19:E19"/>
    <mergeCell ref="B20:E20"/>
    <mergeCell ref="B21:E21"/>
    <mergeCell ref="A25:E25"/>
    <mergeCell ref="A26:E26"/>
    <mergeCell ref="A27:E27"/>
  </mergeCells>
  <pageMargins left="0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5"/>
  <sheetViews>
    <sheetView topLeftCell="A100" workbookViewId="0">
      <selection activeCell="D17" sqref="D17:E17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0.4257812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563" t="s">
        <v>179</v>
      </c>
      <c r="B1" s="563"/>
      <c r="C1" s="563"/>
      <c r="D1" s="563"/>
      <c r="E1" s="563"/>
      <c r="F1" s="108"/>
      <c r="G1" s="108"/>
    </row>
    <row r="2" spans="1:7" x14ac:dyDescent="0.25">
      <c r="A2" s="564"/>
      <c r="B2" s="564"/>
      <c r="C2" s="564"/>
      <c r="D2" s="564"/>
      <c r="E2" s="564"/>
      <c r="F2" s="108"/>
      <c r="G2" s="108"/>
    </row>
    <row r="3" spans="1:7" x14ac:dyDescent="0.25">
      <c r="A3" s="565" t="s">
        <v>185</v>
      </c>
      <c r="B3" s="566"/>
      <c r="C3" s="566"/>
      <c r="D3" s="566"/>
      <c r="E3" s="567"/>
      <c r="F3" s="108"/>
      <c r="G3" s="108"/>
    </row>
    <row r="4" spans="1:7" x14ac:dyDescent="0.25">
      <c r="A4" s="203" t="s">
        <v>135</v>
      </c>
      <c r="B4" s="568"/>
      <c r="C4" s="569"/>
      <c r="D4" s="204" t="s">
        <v>136</v>
      </c>
      <c r="E4" s="205"/>
      <c r="F4" s="108"/>
      <c r="G4" s="108"/>
    </row>
    <row r="5" spans="1:7" x14ac:dyDescent="0.25">
      <c r="A5" s="203" t="s">
        <v>0</v>
      </c>
      <c r="B5" s="206"/>
      <c r="C5" s="207" t="s">
        <v>1</v>
      </c>
      <c r="D5" s="208">
        <v>0.375</v>
      </c>
      <c r="E5" s="207" t="s">
        <v>2</v>
      </c>
      <c r="F5" s="108"/>
      <c r="G5" s="108"/>
    </row>
    <row r="6" spans="1:7" x14ac:dyDescent="0.25">
      <c r="A6" s="557" t="s">
        <v>137</v>
      </c>
      <c r="B6" s="557"/>
      <c r="C6" s="557"/>
      <c r="D6" s="557"/>
      <c r="E6" s="557"/>
      <c r="F6" s="108"/>
      <c r="G6" s="108"/>
    </row>
    <row r="7" spans="1:7" x14ac:dyDescent="0.25">
      <c r="A7" s="550" t="s">
        <v>138</v>
      </c>
      <c r="B7" s="550"/>
      <c r="C7" s="570"/>
      <c r="D7" s="570"/>
      <c r="E7" s="570"/>
      <c r="F7" s="108"/>
      <c r="G7" s="108"/>
    </row>
    <row r="8" spans="1:7" x14ac:dyDescent="0.25">
      <c r="A8" s="550" t="s">
        <v>139</v>
      </c>
      <c r="B8" s="550"/>
      <c r="C8" s="551"/>
      <c r="D8" s="552"/>
      <c r="E8" s="553"/>
      <c r="F8" s="108"/>
      <c r="G8" s="108"/>
    </row>
    <row r="9" spans="1:7" x14ac:dyDescent="0.25">
      <c r="A9" s="554" t="s">
        <v>140</v>
      </c>
      <c r="B9" s="555"/>
      <c r="C9" s="556"/>
      <c r="D9" s="209">
        <v>4</v>
      </c>
      <c r="E9" s="210" t="str">
        <f>IF(D9=1,"Lucro Real",IF(D9=2,"Lucro Presumido",IF(D9=3,"SIMPLES-Anexo III",IF(D9=4,"SIMPLES-Anexo IV","RT Inválido"))))</f>
        <v>SIMPLES-Anexo IV</v>
      </c>
      <c r="F9" s="108"/>
      <c r="G9" s="108"/>
    </row>
    <row r="10" spans="1:7" x14ac:dyDescent="0.25">
      <c r="A10" s="557" t="s">
        <v>174</v>
      </c>
      <c r="B10" s="557"/>
      <c r="C10" s="557"/>
      <c r="D10" s="557"/>
      <c r="E10" s="557"/>
      <c r="F10" s="108"/>
      <c r="G10" s="108"/>
    </row>
    <row r="11" spans="1:7" x14ac:dyDescent="0.25">
      <c r="A11" s="211" t="s">
        <v>3</v>
      </c>
      <c r="B11" s="558" t="s">
        <v>7</v>
      </c>
      <c r="C11" s="558"/>
      <c r="D11" s="558"/>
      <c r="E11" s="212"/>
      <c r="F11" s="108"/>
      <c r="G11" s="108"/>
    </row>
    <row r="12" spans="1:7" x14ac:dyDescent="0.25">
      <c r="A12" s="211" t="s">
        <v>4</v>
      </c>
      <c r="B12" s="559" t="s">
        <v>8</v>
      </c>
      <c r="C12" s="560"/>
      <c r="D12" s="561" t="s">
        <v>180</v>
      </c>
      <c r="E12" s="562"/>
      <c r="F12" s="108"/>
      <c r="G12" s="108"/>
    </row>
    <row r="13" spans="1:7" x14ac:dyDescent="0.25">
      <c r="A13" s="211" t="s">
        <v>5</v>
      </c>
      <c r="B13" s="558" t="s">
        <v>9</v>
      </c>
      <c r="C13" s="558"/>
      <c r="D13" s="558"/>
      <c r="E13" s="213" t="s">
        <v>181</v>
      </c>
      <c r="F13" s="108"/>
      <c r="G13" s="108"/>
    </row>
    <row r="14" spans="1:7" x14ac:dyDescent="0.25">
      <c r="A14" s="211" t="s">
        <v>6</v>
      </c>
      <c r="B14" s="558" t="s">
        <v>10</v>
      </c>
      <c r="C14" s="558"/>
      <c r="D14" s="558"/>
      <c r="E14" s="214">
        <v>10</v>
      </c>
      <c r="F14" s="108"/>
      <c r="G14" s="108"/>
    </row>
    <row r="15" spans="1:7" x14ac:dyDescent="0.25">
      <c r="A15" s="557" t="s">
        <v>134</v>
      </c>
      <c r="B15" s="557"/>
      <c r="C15" s="557"/>
      <c r="D15" s="557"/>
      <c r="E15" s="557"/>
      <c r="F15" s="108"/>
      <c r="G15" s="108"/>
    </row>
    <row r="16" spans="1:7" x14ac:dyDescent="0.25">
      <c r="A16" s="582" t="s">
        <v>11</v>
      </c>
      <c r="B16" s="582"/>
      <c r="C16" s="215" t="s">
        <v>12</v>
      </c>
      <c r="D16" s="582" t="s">
        <v>13</v>
      </c>
      <c r="E16" s="582"/>
      <c r="F16" s="108"/>
      <c r="G16" s="108"/>
    </row>
    <row r="17" spans="1:7" x14ac:dyDescent="0.25">
      <c r="A17" s="582" t="s">
        <v>163</v>
      </c>
      <c r="B17" s="582"/>
      <c r="C17" s="216" t="s">
        <v>182</v>
      </c>
      <c r="D17" s="583">
        <v>750.64</v>
      </c>
      <c r="E17" s="584"/>
      <c r="F17" s="108"/>
      <c r="G17" s="108"/>
    </row>
    <row r="18" spans="1:7" x14ac:dyDescent="0.25">
      <c r="A18" s="571" t="s">
        <v>153</v>
      </c>
      <c r="B18" s="572"/>
      <c r="C18" s="573"/>
      <c r="D18" s="574">
        <f>SUM(D17)</f>
        <v>750.64</v>
      </c>
      <c r="E18" s="575"/>
      <c r="F18" s="108"/>
      <c r="G18" s="108"/>
    </row>
    <row r="19" spans="1:7" x14ac:dyDescent="0.25">
      <c r="A19" s="217" t="s">
        <v>25</v>
      </c>
      <c r="B19" s="576" t="s">
        <v>14</v>
      </c>
      <c r="C19" s="576"/>
      <c r="D19" s="576"/>
      <c r="E19" s="577"/>
      <c r="F19" s="108"/>
      <c r="G19" s="108"/>
    </row>
    <row r="20" spans="1:7" x14ac:dyDescent="0.25">
      <c r="A20" s="218"/>
      <c r="B20" s="578" t="s">
        <v>15</v>
      </c>
      <c r="C20" s="578"/>
      <c r="D20" s="578"/>
      <c r="E20" s="579"/>
      <c r="F20" s="108"/>
      <c r="G20" s="108"/>
    </row>
    <row r="21" spans="1:7" x14ac:dyDescent="0.25">
      <c r="A21" s="217" t="s">
        <v>26</v>
      </c>
      <c r="B21" s="576" t="s">
        <v>16</v>
      </c>
      <c r="C21" s="576"/>
      <c r="D21" s="576"/>
      <c r="E21" s="577"/>
      <c r="F21" s="108"/>
      <c r="G21" s="108"/>
    </row>
    <row r="22" spans="1:7" x14ac:dyDescent="0.25">
      <c r="A22" s="218"/>
      <c r="B22" s="580" t="s">
        <v>17</v>
      </c>
      <c r="C22" s="580"/>
      <c r="D22" s="580"/>
      <c r="E22" s="581"/>
      <c r="F22" s="108"/>
      <c r="G22" s="108"/>
    </row>
    <row r="23" spans="1:7" x14ac:dyDescent="0.25">
      <c r="A23" s="219"/>
      <c r="B23" s="219"/>
      <c r="C23" s="219"/>
      <c r="D23" s="219"/>
      <c r="E23" s="219"/>
      <c r="F23" s="108"/>
      <c r="G23" s="108"/>
    </row>
    <row r="24" spans="1:7" x14ac:dyDescent="0.25">
      <c r="A24" s="564" t="s">
        <v>177</v>
      </c>
      <c r="B24" s="564"/>
      <c r="C24" s="564"/>
      <c r="D24" s="564"/>
      <c r="E24" s="564"/>
      <c r="F24" s="108"/>
      <c r="G24" s="108"/>
    </row>
    <row r="25" spans="1:7" x14ac:dyDescent="0.25">
      <c r="A25" s="587" t="s">
        <v>18</v>
      </c>
      <c r="B25" s="587"/>
      <c r="C25" s="587"/>
      <c r="D25" s="587"/>
      <c r="E25" s="587"/>
      <c r="F25" s="108"/>
      <c r="G25" s="108"/>
    </row>
    <row r="26" spans="1:7" x14ac:dyDescent="0.25">
      <c r="A26" s="588" t="s">
        <v>19</v>
      </c>
      <c r="B26" s="588"/>
      <c r="C26" s="588"/>
      <c r="D26" s="588"/>
      <c r="E26" s="588"/>
      <c r="F26" s="108"/>
      <c r="G26" s="108"/>
    </row>
    <row r="27" spans="1:7" x14ac:dyDescent="0.25">
      <c r="A27" s="558" t="s">
        <v>20</v>
      </c>
      <c r="B27" s="558"/>
      <c r="C27" s="558"/>
      <c r="D27" s="558"/>
      <c r="E27" s="558"/>
      <c r="F27" s="108"/>
      <c r="G27" s="108"/>
    </row>
    <row r="28" spans="1:7" x14ac:dyDescent="0.25">
      <c r="A28" s="211">
        <v>1</v>
      </c>
      <c r="B28" s="558" t="s">
        <v>21</v>
      </c>
      <c r="C28" s="558"/>
      <c r="D28" s="558"/>
      <c r="E28" s="220" t="s">
        <v>163</v>
      </c>
      <c r="F28" s="108"/>
      <c r="G28" s="108"/>
    </row>
    <row r="29" spans="1:7" x14ac:dyDescent="0.25">
      <c r="A29" s="211">
        <v>2</v>
      </c>
      <c r="B29" s="558" t="s">
        <v>22</v>
      </c>
      <c r="C29" s="558"/>
      <c r="D29" s="558"/>
      <c r="E29" s="221">
        <v>1869</v>
      </c>
      <c r="F29" s="108"/>
      <c r="G29" s="108"/>
    </row>
    <row r="30" spans="1:7" x14ac:dyDescent="0.25">
      <c r="A30" s="211">
        <v>3</v>
      </c>
      <c r="B30" s="558" t="s">
        <v>23</v>
      </c>
      <c r="C30" s="558"/>
      <c r="D30" s="558"/>
      <c r="E30" s="220" t="s">
        <v>164</v>
      </c>
      <c r="F30" s="108"/>
      <c r="G30" s="108"/>
    </row>
    <row r="31" spans="1:7" x14ac:dyDescent="0.25">
      <c r="A31" s="211">
        <v>4</v>
      </c>
      <c r="B31" s="558" t="s">
        <v>24</v>
      </c>
      <c r="C31" s="558"/>
      <c r="D31" s="558"/>
      <c r="E31" s="222">
        <v>43831</v>
      </c>
      <c r="F31" s="108"/>
      <c r="G31" s="108"/>
    </row>
    <row r="32" spans="1:7" x14ac:dyDescent="0.25">
      <c r="A32" s="223" t="s">
        <v>27</v>
      </c>
      <c r="B32" s="585" t="s">
        <v>28</v>
      </c>
      <c r="C32" s="585"/>
      <c r="D32" s="585"/>
      <c r="E32" s="586"/>
      <c r="F32" s="108"/>
      <c r="G32" s="108"/>
    </row>
    <row r="33" spans="1:7" x14ac:dyDescent="0.25">
      <c r="A33" s="587" t="s">
        <v>29</v>
      </c>
      <c r="B33" s="587"/>
      <c r="C33" s="587" t="s">
        <v>30</v>
      </c>
      <c r="D33" s="587"/>
      <c r="E33" s="587"/>
      <c r="F33" s="108"/>
      <c r="G33" s="108"/>
    </row>
    <row r="34" spans="1:7" x14ac:dyDescent="0.25">
      <c r="A34" s="224">
        <v>1</v>
      </c>
      <c r="B34" s="588" t="s">
        <v>35</v>
      </c>
      <c r="C34" s="588"/>
      <c r="D34" s="588"/>
      <c r="E34" s="224" t="s">
        <v>41</v>
      </c>
      <c r="F34" s="108"/>
      <c r="G34" s="108"/>
    </row>
    <row r="35" spans="1:7" x14ac:dyDescent="0.25">
      <c r="A35" s="225" t="s">
        <v>3</v>
      </c>
      <c r="B35" s="596" t="s">
        <v>36</v>
      </c>
      <c r="C35" s="596"/>
      <c r="D35" s="596"/>
      <c r="E35" s="226">
        <v>1869</v>
      </c>
      <c r="F35" s="108"/>
      <c r="G35" s="108"/>
    </row>
    <row r="36" spans="1:7" x14ac:dyDescent="0.25">
      <c r="A36" s="225" t="s">
        <v>4</v>
      </c>
      <c r="B36" s="596" t="s">
        <v>38</v>
      </c>
      <c r="C36" s="596"/>
      <c r="D36" s="596"/>
      <c r="E36" s="227">
        <v>0</v>
      </c>
      <c r="F36" s="108"/>
      <c r="G36" s="108"/>
    </row>
    <row r="37" spans="1:7" x14ac:dyDescent="0.25">
      <c r="A37" s="597" t="s">
        <v>5</v>
      </c>
      <c r="B37" s="599" t="s">
        <v>37</v>
      </c>
      <c r="C37" s="228" t="s">
        <v>147</v>
      </c>
      <c r="D37" s="229">
        <v>1869</v>
      </c>
      <c r="E37" s="601">
        <f>D37*D38</f>
        <v>0</v>
      </c>
      <c r="F37" s="108"/>
      <c r="G37" s="108"/>
    </row>
    <row r="38" spans="1:7" x14ac:dyDescent="0.25">
      <c r="A38" s="598"/>
      <c r="B38" s="600"/>
      <c r="C38" s="230" t="s">
        <v>148</v>
      </c>
      <c r="D38" s="231">
        <v>0</v>
      </c>
      <c r="E38" s="602"/>
      <c r="F38" s="108"/>
      <c r="G38" s="108"/>
    </row>
    <row r="39" spans="1:7" x14ac:dyDescent="0.25">
      <c r="A39" s="588" t="s">
        <v>40</v>
      </c>
      <c r="B39" s="588"/>
      <c r="C39" s="588"/>
      <c r="D39" s="588"/>
      <c r="E39" s="232">
        <f>SUM(E35:E38)</f>
        <v>1869</v>
      </c>
      <c r="F39" s="108"/>
      <c r="G39" s="108"/>
    </row>
    <row r="40" spans="1:7" x14ac:dyDescent="0.25">
      <c r="A40" s="587" t="s">
        <v>42</v>
      </c>
      <c r="B40" s="587"/>
      <c r="C40" s="587" t="s">
        <v>43</v>
      </c>
      <c r="D40" s="587"/>
      <c r="E40" s="587"/>
      <c r="F40" s="108"/>
      <c r="G40" s="108"/>
    </row>
    <row r="41" spans="1:7" x14ac:dyDescent="0.25">
      <c r="A41" s="224">
        <v>2</v>
      </c>
      <c r="B41" s="588" t="s">
        <v>44</v>
      </c>
      <c r="C41" s="588"/>
      <c r="D41" s="588"/>
      <c r="E41" s="224"/>
      <c r="F41" s="108"/>
      <c r="G41" s="108"/>
    </row>
    <row r="42" spans="1:7" x14ac:dyDescent="0.25">
      <c r="A42" s="589" t="s">
        <v>3</v>
      </c>
      <c r="B42" s="592" t="s">
        <v>45</v>
      </c>
      <c r="C42" s="233" t="s">
        <v>131</v>
      </c>
      <c r="D42" s="234">
        <v>1869</v>
      </c>
      <c r="E42" s="595">
        <f>IF(D43&gt;0,(D43*D44-(D42*6%)),0)</f>
        <v>0</v>
      </c>
      <c r="F42" s="108"/>
      <c r="G42" s="108"/>
    </row>
    <row r="43" spans="1:7" x14ac:dyDescent="0.25">
      <c r="A43" s="590"/>
      <c r="B43" s="593"/>
      <c r="C43" s="233" t="s">
        <v>132</v>
      </c>
      <c r="D43" s="235">
        <v>0</v>
      </c>
      <c r="E43" s="595"/>
      <c r="F43" s="108"/>
      <c r="G43" s="108"/>
    </row>
    <row r="44" spans="1:7" x14ac:dyDescent="0.25">
      <c r="A44" s="591"/>
      <c r="B44" s="594"/>
      <c r="C44" s="233" t="s">
        <v>130</v>
      </c>
      <c r="D44" s="236">
        <v>0</v>
      </c>
      <c r="E44" s="595"/>
      <c r="F44" s="108"/>
      <c r="G44" s="108"/>
    </row>
    <row r="45" spans="1:7" x14ac:dyDescent="0.25">
      <c r="A45" s="589" t="s">
        <v>4</v>
      </c>
      <c r="B45" s="608" t="s">
        <v>46</v>
      </c>
      <c r="C45" s="233" t="s">
        <v>149</v>
      </c>
      <c r="D45" s="237">
        <v>7</v>
      </c>
      <c r="E45" s="611">
        <f>ROUND((D45*D46)-((D45*D46)*D47),2)</f>
        <v>143.22</v>
      </c>
      <c r="F45" s="108"/>
      <c r="G45" s="108"/>
    </row>
    <row r="46" spans="1:7" x14ac:dyDescent="0.25">
      <c r="A46" s="590"/>
      <c r="B46" s="609"/>
      <c r="C46" s="233" t="s">
        <v>150</v>
      </c>
      <c r="D46" s="238">
        <v>22</v>
      </c>
      <c r="E46" s="612"/>
      <c r="F46" s="108"/>
      <c r="G46" s="108"/>
    </row>
    <row r="47" spans="1:7" x14ac:dyDescent="0.25">
      <c r="A47" s="591"/>
      <c r="B47" s="610"/>
      <c r="C47" s="239" t="s">
        <v>133</v>
      </c>
      <c r="D47" s="240">
        <v>7.0000000000000007E-2</v>
      </c>
      <c r="E47" s="613"/>
      <c r="F47" s="108"/>
      <c r="G47" s="108"/>
    </row>
    <row r="48" spans="1:7" x14ac:dyDescent="0.25">
      <c r="A48" s="211" t="s">
        <v>5</v>
      </c>
      <c r="B48" s="614" t="s">
        <v>47</v>
      </c>
      <c r="C48" s="614"/>
      <c r="D48" s="614"/>
      <c r="E48" s="241">
        <v>0</v>
      </c>
      <c r="F48" s="108"/>
      <c r="G48" s="108"/>
    </row>
    <row r="49" spans="1:7" x14ac:dyDescent="0.25">
      <c r="A49" s="211" t="s">
        <v>6</v>
      </c>
      <c r="B49" s="614"/>
      <c r="C49" s="614"/>
      <c r="D49" s="614"/>
      <c r="E49" s="241"/>
      <c r="F49" s="108"/>
      <c r="G49" s="108"/>
    </row>
    <row r="50" spans="1:7" x14ac:dyDescent="0.25">
      <c r="A50" s="211" t="s">
        <v>31</v>
      </c>
      <c r="B50" s="614" t="s">
        <v>154</v>
      </c>
      <c r="C50" s="614"/>
      <c r="D50" s="614"/>
      <c r="E50" s="241">
        <v>0</v>
      </c>
      <c r="F50" s="108"/>
      <c r="G50" s="108"/>
    </row>
    <row r="51" spans="1:7" x14ac:dyDescent="0.25">
      <c r="A51" s="603" t="s">
        <v>32</v>
      </c>
      <c r="B51" s="604" t="s">
        <v>39</v>
      </c>
      <c r="C51" s="607"/>
      <c r="D51" s="607"/>
      <c r="E51" s="242"/>
      <c r="F51" s="108"/>
      <c r="G51" s="108"/>
    </row>
    <row r="52" spans="1:7" x14ac:dyDescent="0.25">
      <c r="A52" s="603"/>
      <c r="B52" s="605"/>
      <c r="C52" s="607"/>
      <c r="D52" s="607"/>
      <c r="E52" s="242"/>
      <c r="F52" s="108"/>
      <c r="G52" s="108"/>
    </row>
    <row r="53" spans="1:7" x14ac:dyDescent="0.25">
      <c r="A53" s="603"/>
      <c r="B53" s="606"/>
      <c r="C53" s="607"/>
      <c r="D53" s="607"/>
      <c r="E53" s="242"/>
      <c r="F53" s="108"/>
      <c r="G53" s="108"/>
    </row>
    <row r="54" spans="1:7" x14ac:dyDescent="0.25">
      <c r="A54" s="588" t="s">
        <v>48</v>
      </c>
      <c r="B54" s="588"/>
      <c r="C54" s="588"/>
      <c r="D54" s="588"/>
      <c r="E54" s="232">
        <f>SUM(E42:E53)</f>
        <v>143.22</v>
      </c>
      <c r="F54" s="108"/>
      <c r="G54" s="108"/>
    </row>
    <row r="55" spans="1:7" x14ac:dyDescent="0.25">
      <c r="A55" s="243" t="s">
        <v>27</v>
      </c>
      <c r="B55" s="620" t="s">
        <v>49</v>
      </c>
      <c r="C55" s="620"/>
      <c r="D55" s="620"/>
      <c r="E55" s="621"/>
      <c r="F55" s="108"/>
      <c r="G55" s="108"/>
    </row>
    <row r="56" spans="1:7" x14ac:dyDescent="0.25">
      <c r="A56" s="218"/>
      <c r="B56" s="580" t="s">
        <v>50</v>
      </c>
      <c r="C56" s="580"/>
      <c r="D56" s="580"/>
      <c r="E56" s="581"/>
      <c r="F56" s="108"/>
      <c r="G56" s="108"/>
    </row>
    <row r="57" spans="1:7" x14ac:dyDescent="0.25">
      <c r="A57" s="219"/>
      <c r="B57" s="219"/>
      <c r="C57" s="219"/>
      <c r="D57" s="219"/>
      <c r="E57" s="219"/>
      <c r="F57" s="108"/>
      <c r="G57" s="108"/>
    </row>
    <row r="58" spans="1:7" x14ac:dyDescent="0.25">
      <c r="A58" s="587" t="s">
        <v>51</v>
      </c>
      <c r="B58" s="587"/>
      <c r="C58" s="587" t="s">
        <v>52</v>
      </c>
      <c r="D58" s="587"/>
      <c r="E58" s="587"/>
      <c r="F58" s="108"/>
      <c r="G58" s="108"/>
    </row>
    <row r="59" spans="1:7" x14ac:dyDescent="0.25">
      <c r="A59" s="224">
        <v>3</v>
      </c>
      <c r="B59" s="588" t="s">
        <v>53</v>
      </c>
      <c r="C59" s="588"/>
      <c r="D59" s="588"/>
      <c r="E59" s="224" t="s">
        <v>41</v>
      </c>
      <c r="F59" s="108"/>
      <c r="G59" s="108"/>
    </row>
    <row r="60" spans="1:7" x14ac:dyDescent="0.25">
      <c r="A60" s="589" t="s">
        <v>3</v>
      </c>
      <c r="B60" s="622" t="s">
        <v>165</v>
      </c>
      <c r="C60" s="244" t="s">
        <v>167</v>
      </c>
      <c r="D60" s="244" t="s">
        <v>166</v>
      </c>
      <c r="E60" s="624">
        <f>(D17/C61)*D61</f>
        <v>975.83199999999999</v>
      </c>
      <c r="F60" s="108"/>
      <c r="G60" s="108"/>
    </row>
    <row r="61" spans="1:7" x14ac:dyDescent="0.25">
      <c r="A61" s="591"/>
      <c r="B61" s="623"/>
      <c r="C61" s="245">
        <v>3</v>
      </c>
      <c r="D61" s="246">
        <v>3.9</v>
      </c>
      <c r="E61" s="625"/>
      <c r="F61" s="142"/>
      <c r="G61" s="108"/>
    </row>
    <row r="62" spans="1:7" x14ac:dyDescent="0.25">
      <c r="A62" s="247" t="s">
        <v>4</v>
      </c>
      <c r="B62" s="248" t="s">
        <v>168</v>
      </c>
      <c r="C62" s="249" t="s">
        <v>169</v>
      </c>
      <c r="D62" s="250">
        <v>1000</v>
      </c>
      <c r="E62" s="251">
        <f>D62/12</f>
        <v>83.333333333333329</v>
      </c>
      <c r="F62" s="108"/>
      <c r="G62" s="108"/>
    </row>
    <row r="63" spans="1:7" x14ac:dyDescent="0.25">
      <c r="A63" s="603" t="s">
        <v>5</v>
      </c>
      <c r="B63" s="615" t="s">
        <v>170</v>
      </c>
      <c r="C63" s="249" t="s">
        <v>171</v>
      </c>
      <c r="D63" s="244" t="s">
        <v>184</v>
      </c>
      <c r="E63" s="616">
        <f>D64/12</f>
        <v>583.33333333333337</v>
      </c>
      <c r="F63" s="108"/>
      <c r="G63" s="108"/>
    </row>
    <row r="64" spans="1:7" x14ac:dyDescent="0.25">
      <c r="A64" s="603"/>
      <c r="B64" s="615"/>
      <c r="C64" s="252">
        <v>100000</v>
      </c>
      <c r="D64" s="253">
        <f>C64*7%</f>
        <v>7000.0000000000009</v>
      </c>
      <c r="E64" s="617"/>
      <c r="F64" s="108"/>
      <c r="G64" s="108"/>
    </row>
    <row r="65" spans="1:7" x14ac:dyDescent="0.25">
      <c r="A65" s="589" t="s">
        <v>6</v>
      </c>
      <c r="B65" s="618" t="s">
        <v>172</v>
      </c>
      <c r="C65" s="254" t="s">
        <v>147</v>
      </c>
      <c r="D65" s="255" t="s">
        <v>68</v>
      </c>
      <c r="E65" s="616">
        <f>C66*D66</f>
        <v>487.916</v>
      </c>
      <c r="F65" s="108"/>
      <c r="G65" s="108"/>
    </row>
    <row r="66" spans="1:7" x14ac:dyDescent="0.25">
      <c r="A66" s="591"/>
      <c r="B66" s="619"/>
      <c r="C66" s="256">
        <f>E60</f>
        <v>975.83199999999999</v>
      </c>
      <c r="D66" s="257">
        <v>0.5</v>
      </c>
      <c r="E66" s="617"/>
      <c r="F66" s="142"/>
      <c r="G66" s="108"/>
    </row>
    <row r="67" spans="1:7" x14ac:dyDescent="0.25">
      <c r="A67" s="588" t="s">
        <v>55</v>
      </c>
      <c r="B67" s="588"/>
      <c r="C67" s="588"/>
      <c r="D67" s="588"/>
      <c r="E67" s="232">
        <f>SUM(E60:E66)</f>
        <v>2130.414666666667</v>
      </c>
      <c r="F67" s="108"/>
      <c r="G67" s="108"/>
    </row>
    <row r="68" spans="1:7" x14ac:dyDescent="0.25">
      <c r="A68" s="258" t="s">
        <v>27</v>
      </c>
      <c r="B68" s="585" t="s">
        <v>54</v>
      </c>
      <c r="C68" s="585"/>
      <c r="D68" s="585"/>
      <c r="E68" s="586"/>
      <c r="F68" s="108"/>
      <c r="G68" s="108"/>
    </row>
    <row r="69" spans="1:7" x14ac:dyDescent="0.25">
      <c r="A69" s="219"/>
      <c r="B69" s="219"/>
      <c r="C69" s="219"/>
      <c r="D69" s="219"/>
      <c r="E69" s="219"/>
      <c r="F69" s="108"/>
      <c r="G69" s="108"/>
    </row>
    <row r="70" spans="1:7" x14ac:dyDescent="0.25">
      <c r="A70" s="587" t="s">
        <v>56</v>
      </c>
      <c r="B70" s="587"/>
      <c r="C70" s="587" t="s">
        <v>57</v>
      </c>
      <c r="D70" s="587"/>
      <c r="E70" s="587"/>
      <c r="F70" s="108"/>
      <c r="G70" s="108"/>
    </row>
    <row r="71" spans="1:7" x14ac:dyDescent="0.25">
      <c r="A71" s="627" t="s">
        <v>58</v>
      </c>
      <c r="B71" s="628"/>
      <c r="C71" s="627" t="s">
        <v>59</v>
      </c>
      <c r="D71" s="629"/>
      <c r="E71" s="628"/>
      <c r="F71" s="108"/>
      <c r="G71" s="108"/>
    </row>
    <row r="72" spans="1:7" x14ac:dyDescent="0.25">
      <c r="A72" s="224" t="s">
        <v>60</v>
      </c>
      <c r="B72" s="588" t="s">
        <v>59</v>
      </c>
      <c r="C72" s="588"/>
      <c r="D72" s="224" t="s">
        <v>68</v>
      </c>
      <c r="E72" s="224" t="s">
        <v>41</v>
      </c>
      <c r="F72" s="108"/>
      <c r="G72" s="108"/>
    </row>
    <row r="73" spans="1:7" x14ac:dyDescent="0.25">
      <c r="A73" s="211" t="s">
        <v>3</v>
      </c>
      <c r="B73" s="558" t="s">
        <v>61</v>
      </c>
      <c r="C73" s="558"/>
      <c r="D73" s="259">
        <f>IF(D9=1,20%,IF(D9=2,20%,IF(D9=3,0%,IF(D9=4,20%,"RT Indefinido"))))</f>
        <v>0.2</v>
      </c>
      <c r="E73" s="260">
        <f>ROUND(E39*D73,2)</f>
        <v>373.8</v>
      </c>
      <c r="F73" s="108"/>
      <c r="G73" s="108"/>
    </row>
    <row r="74" spans="1:7" x14ac:dyDescent="0.25">
      <c r="A74" s="211" t="s">
        <v>4</v>
      </c>
      <c r="B74" s="558" t="s">
        <v>62</v>
      </c>
      <c r="C74" s="558"/>
      <c r="D74" s="259">
        <f>IF(D9=1,1.5%,IF(D9=2,1.5%,IF(D9=3,0%,IF(D9=4,0%,"RT Indefinido"))))</f>
        <v>0</v>
      </c>
      <c r="E74" s="260">
        <f>ROUND(E39*D74,2)</f>
        <v>0</v>
      </c>
      <c r="F74" s="108"/>
      <c r="G74" s="108"/>
    </row>
    <row r="75" spans="1:7" x14ac:dyDescent="0.25">
      <c r="A75" s="211" t="s">
        <v>5</v>
      </c>
      <c r="B75" s="558" t="s">
        <v>63</v>
      </c>
      <c r="C75" s="558"/>
      <c r="D75" s="259">
        <f>IF(D9=1,1%,IF(D9=2,1%,IF(D9=3,0%,IF(D9=4,0%,"RT Indefinido"))))</f>
        <v>0</v>
      </c>
      <c r="E75" s="260">
        <f>ROUND(E39*D75,2)</f>
        <v>0</v>
      </c>
      <c r="F75" s="108"/>
      <c r="G75" s="108"/>
    </row>
    <row r="76" spans="1:7" x14ac:dyDescent="0.25">
      <c r="A76" s="211" t="s">
        <v>6</v>
      </c>
      <c r="B76" s="626" t="s">
        <v>64</v>
      </c>
      <c r="C76" s="626"/>
      <c r="D76" s="261">
        <f>IF(D9=1,0.2%,IF(D9=2,0.2%,IF(D9=3,0%,IF(D9=4,0%,"RT Indefinido"))))</f>
        <v>0</v>
      </c>
      <c r="E76" s="262">
        <f>ROUND(E39*D76,2)</f>
        <v>0</v>
      </c>
      <c r="F76" s="108"/>
      <c r="G76" s="108"/>
    </row>
    <row r="77" spans="1:7" x14ac:dyDescent="0.25">
      <c r="A77" s="211" t="s">
        <v>31</v>
      </c>
      <c r="B77" s="558" t="s">
        <v>65</v>
      </c>
      <c r="C77" s="558"/>
      <c r="D77" s="259">
        <f>IF(D9=1,2.5%,IF(D9=2,2.5%,IF(D9=3,0%,IF(D9=4,0%,"RT Indefinido"))))</f>
        <v>0</v>
      </c>
      <c r="E77" s="260">
        <f>ROUND(E39*D77,2)</f>
        <v>0</v>
      </c>
      <c r="F77" s="108"/>
      <c r="G77" s="108"/>
    </row>
    <row r="78" spans="1:7" x14ac:dyDescent="0.25">
      <c r="A78" s="211" t="s">
        <v>32</v>
      </c>
      <c r="B78" s="630" t="s">
        <v>66</v>
      </c>
      <c r="C78" s="630"/>
      <c r="D78" s="259">
        <f>IF(D9=1,8%,IF(D9=2,8%,IF(D9=3,8%,IF(D9=4,8%,"RT Indefinido"))))</f>
        <v>0.08</v>
      </c>
      <c r="E78" s="260">
        <f>ROUND(E39*D78,2)</f>
        <v>149.52000000000001</v>
      </c>
      <c r="F78" s="108"/>
      <c r="G78" s="108"/>
    </row>
    <row r="79" spans="1:7" x14ac:dyDescent="0.25">
      <c r="A79" s="211" t="s">
        <v>33</v>
      </c>
      <c r="B79" s="631" t="s">
        <v>143</v>
      </c>
      <c r="C79" s="631"/>
      <c r="D79" s="263">
        <v>0.03</v>
      </c>
      <c r="E79" s="264">
        <f>ROUND(E39*D79,2)</f>
        <v>56.07</v>
      </c>
      <c r="F79" s="108"/>
      <c r="G79" s="108"/>
    </row>
    <row r="80" spans="1:7" x14ac:dyDescent="0.25">
      <c r="A80" s="211" t="s">
        <v>34</v>
      </c>
      <c r="B80" s="630" t="s">
        <v>67</v>
      </c>
      <c r="C80" s="630"/>
      <c r="D80" s="259">
        <f>IF(D9=1,0.6%,IF(D9=2,0.6%,IF(D9=3,0%,IF(D9=4,0%,"RT Indefinido"))))</f>
        <v>0</v>
      </c>
      <c r="E80" s="260">
        <f>ROUND(E39*D80,2)</f>
        <v>0</v>
      </c>
      <c r="F80" s="108"/>
      <c r="G80" s="108"/>
    </row>
    <row r="81" spans="1:7" x14ac:dyDescent="0.25">
      <c r="A81" s="588" t="s">
        <v>77</v>
      </c>
      <c r="B81" s="588"/>
      <c r="C81" s="588"/>
      <c r="D81" s="265">
        <f>SUM(D73:D80)</f>
        <v>0.31000000000000005</v>
      </c>
      <c r="E81" s="232">
        <f>ROUND(SUM(E73:E80),2)</f>
        <v>579.39</v>
      </c>
      <c r="F81" s="108"/>
      <c r="G81" s="108"/>
    </row>
    <row r="82" spans="1:7" x14ac:dyDescent="0.25">
      <c r="A82" s="243" t="s">
        <v>25</v>
      </c>
      <c r="B82" s="576" t="s">
        <v>69</v>
      </c>
      <c r="C82" s="576"/>
      <c r="D82" s="576"/>
      <c r="E82" s="577"/>
      <c r="F82" s="108"/>
      <c r="G82" s="108"/>
    </row>
    <row r="83" spans="1:7" x14ac:dyDescent="0.25">
      <c r="A83" s="266" t="s">
        <v>26</v>
      </c>
      <c r="B83" s="580" t="s">
        <v>70</v>
      </c>
      <c r="C83" s="580"/>
      <c r="D83" s="580"/>
      <c r="E83" s="581"/>
      <c r="F83" s="108"/>
      <c r="G83" s="108"/>
    </row>
    <row r="84" spans="1:7" x14ac:dyDescent="0.25">
      <c r="A84" s="219"/>
      <c r="B84" s="219"/>
      <c r="C84" s="219"/>
      <c r="D84" s="219"/>
      <c r="E84" s="219"/>
      <c r="F84" s="108"/>
      <c r="G84" s="108"/>
    </row>
    <row r="85" spans="1:7" x14ac:dyDescent="0.25">
      <c r="A85" s="627" t="s">
        <v>71</v>
      </c>
      <c r="B85" s="628"/>
      <c r="C85" s="627" t="s">
        <v>72</v>
      </c>
      <c r="D85" s="629"/>
      <c r="E85" s="628"/>
      <c r="F85" s="108"/>
      <c r="G85" s="108"/>
    </row>
    <row r="86" spans="1:7" x14ac:dyDescent="0.25">
      <c r="A86" s="224" t="s">
        <v>78</v>
      </c>
      <c r="B86" s="588" t="s">
        <v>72</v>
      </c>
      <c r="C86" s="588"/>
      <c r="D86" s="224" t="s">
        <v>68</v>
      </c>
      <c r="E86" s="224" t="s">
        <v>41</v>
      </c>
      <c r="F86" s="108"/>
      <c r="G86" s="108"/>
    </row>
    <row r="87" spans="1:7" x14ac:dyDescent="0.25">
      <c r="A87" s="211" t="s">
        <v>3</v>
      </c>
      <c r="B87" s="558" t="s">
        <v>73</v>
      </c>
      <c r="C87" s="558"/>
      <c r="D87" s="259">
        <f>100/12/100</f>
        <v>8.3333333333333343E-2</v>
      </c>
      <c r="E87" s="260">
        <f>ROUND(E39*D87,2)</f>
        <v>155.75</v>
      </c>
      <c r="F87" s="108"/>
      <c r="G87" s="108"/>
    </row>
    <row r="88" spans="1:7" x14ac:dyDescent="0.25">
      <c r="A88" s="211" t="s">
        <v>4</v>
      </c>
      <c r="B88" s="558" t="s">
        <v>74</v>
      </c>
      <c r="C88" s="558"/>
      <c r="D88" s="259">
        <f>100/12/100/3</f>
        <v>2.777777777777778E-2</v>
      </c>
      <c r="E88" s="260">
        <f>ROUND(E39*D88,2)</f>
        <v>51.92</v>
      </c>
      <c r="F88" s="108"/>
      <c r="G88" s="108"/>
    </row>
    <row r="89" spans="1:7" x14ac:dyDescent="0.25">
      <c r="A89" s="565" t="s">
        <v>75</v>
      </c>
      <c r="B89" s="566"/>
      <c r="C89" s="567"/>
      <c r="D89" s="267">
        <f>SUM(D87+D88)</f>
        <v>0.11111111111111112</v>
      </c>
      <c r="E89" s="268">
        <f>ROUND(SUM(E87+E88),2)</f>
        <v>207.67</v>
      </c>
      <c r="F89" s="108"/>
      <c r="G89" s="108"/>
    </row>
    <row r="90" spans="1:7" x14ac:dyDescent="0.25">
      <c r="A90" s="589" t="s">
        <v>5</v>
      </c>
      <c r="B90" s="633" t="s">
        <v>76</v>
      </c>
      <c r="C90" s="634"/>
      <c r="D90" s="637">
        <f>ROUND((E90*D89)/E89,4)</f>
        <v>3.44E-2</v>
      </c>
      <c r="E90" s="639">
        <f>ROUND(E89*D81,2)</f>
        <v>64.38</v>
      </c>
      <c r="F90" s="108"/>
      <c r="G90" s="108"/>
    </row>
    <row r="91" spans="1:7" x14ac:dyDescent="0.25">
      <c r="A91" s="591"/>
      <c r="B91" s="635"/>
      <c r="C91" s="636"/>
      <c r="D91" s="638"/>
      <c r="E91" s="640"/>
      <c r="F91" s="108"/>
      <c r="G91" s="108"/>
    </row>
    <row r="92" spans="1:7" x14ac:dyDescent="0.25">
      <c r="A92" s="588" t="s">
        <v>77</v>
      </c>
      <c r="B92" s="588"/>
      <c r="C92" s="588"/>
      <c r="D92" s="265">
        <f>SUM(D89:D91)</f>
        <v>0.14551111111111112</v>
      </c>
      <c r="E92" s="232">
        <f>ROUND(SUM(E89:E91),2)</f>
        <v>272.05</v>
      </c>
      <c r="F92" s="108"/>
      <c r="G92" s="108"/>
    </row>
    <row r="93" spans="1:7" x14ac:dyDescent="0.25">
      <c r="A93" s="219"/>
      <c r="B93" s="219"/>
      <c r="C93" s="219"/>
      <c r="D93" s="219"/>
      <c r="E93" s="219"/>
      <c r="F93" s="108"/>
      <c r="G93" s="108"/>
    </row>
    <row r="94" spans="1:7" x14ac:dyDescent="0.25">
      <c r="A94" s="627" t="s">
        <v>79</v>
      </c>
      <c r="B94" s="628"/>
      <c r="C94" s="627" t="s">
        <v>81</v>
      </c>
      <c r="D94" s="629"/>
      <c r="E94" s="628"/>
      <c r="F94" s="632" t="s">
        <v>81</v>
      </c>
      <c r="G94" s="632"/>
    </row>
    <row r="95" spans="1:7" x14ac:dyDescent="0.25">
      <c r="A95" s="224" t="s">
        <v>80</v>
      </c>
      <c r="B95" s="588" t="s">
        <v>81</v>
      </c>
      <c r="C95" s="588"/>
      <c r="D95" s="224" t="s">
        <v>68</v>
      </c>
      <c r="E95" s="224" t="s">
        <v>41</v>
      </c>
      <c r="F95" s="165" t="s">
        <v>161</v>
      </c>
      <c r="G95" s="166" t="s">
        <v>173</v>
      </c>
    </row>
    <row r="96" spans="1:7" x14ac:dyDescent="0.25">
      <c r="A96" s="211" t="s">
        <v>3</v>
      </c>
      <c r="B96" s="558" t="s">
        <v>81</v>
      </c>
      <c r="C96" s="558"/>
      <c r="D96" s="269">
        <f>(E96)/E39</f>
        <v>0</v>
      </c>
      <c r="E96" s="270">
        <f>IF(G95="S",(((1+1/3)*(4/12))*(E39))/12*2%,IF(G95="N",0,"INFORME S ou N"))</f>
        <v>0</v>
      </c>
      <c r="F96" s="108"/>
      <c r="G96" s="108"/>
    </row>
    <row r="97" spans="1:7" x14ac:dyDescent="0.25">
      <c r="A97" s="589" t="s">
        <v>4</v>
      </c>
      <c r="B97" s="633" t="s">
        <v>82</v>
      </c>
      <c r="C97" s="634"/>
      <c r="D97" s="637">
        <f>IF(G95="S",(ROUND((E97*D96)/E96,4)),0)</f>
        <v>0</v>
      </c>
      <c r="E97" s="639">
        <f>ROUND(D81*E96,2)</f>
        <v>0</v>
      </c>
      <c r="F97" s="108"/>
      <c r="G97" s="108"/>
    </row>
    <row r="98" spans="1:7" x14ac:dyDescent="0.25">
      <c r="A98" s="591"/>
      <c r="B98" s="635"/>
      <c r="C98" s="636"/>
      <c r="D98" s="638"/>
      <c r="E98" s="640"/>
      <c r="F98" s="108"/>
      <c r="G98" s="108"/>
    </row>
    <row r="99" spans="1:7" x14ac:dyDescent="0.25">
      <c r="A99" s="588" t="s">
        <v>77</v>
      </c>
      <c r="B99" s="588"/>
      <c r="C99" s="588"/>
      <c r="D99" s="265">
        <f>SUM(D96:D98)</f>
        <v>0</v>
      </c>
      <c r="E99" s="232">
        <f>ROUND(SUM(E96:E98),2)</f>
        <v>0</v>
      </c>
      <c r="F99" s="108"/>
      <c r="G99" s="108"/>
    </row>
    <row r="100" spans="1:7" x14ac:dyDescent="0.25">
      <c r="A100" s="219"/>
      <c r="B100" s="219"/>
      <c r="C100" s="219"/>
      <c r="D100" s="219"/>
      <c r="E100" s="219"/>
      <c r="F100" s="108"/>
      <c r="G100" s="108"/>
    </row>
    <row r="101" spans="1:7" x14ac:dyDescent="0.25">
      <c r="A101" s="627" t="s">
        <v>83</v>
      </c>
      <c r="B101" s="628"/>
      <c r="C101" s="627" t="s">
        <v>85</v>
      </c>
      <c r="D101" s="629"/>
      <c r="E101" s="628"/>
      <c r="F101" s="108"/>
      <c r="G101" s="108"/>
    </row>
    <row r="102" spans="1:7" x14ac:dyDescent="0.25">
      <c r="A102" s="224" t="s">
        <v>84</v>
      </c>
      <c r="B102" s="588" t="s">
        <v>85</v>
      </c>
      <c r="C102" s="588"/>
      <c r="D102" s="224" t="s">
        <v>68</v>
      </c>
      <c r="E102" s="224" t="s">
        <v>41</v>
      </c>
      <c r="F102" s="108"/>
      <c r="G102" s="108"/>
    </row>
    <row r="103" spans="1:7" x14ac:dyDescent="0.25">
      <c r="A103" s="211" t="s">
        <v>3</v>
      </c>
      <c r="B103" s="558" t="s">
        <v>91</v>
      </c>
      <c r="C103" s="558"/>
      <c r="D103" s="269">
        <f>ROUND(E103/E39,4)</f>
        <v>4.1999999999999997E-3</v>
      </c>
      <c r="E103" s="260">
        <f>ROUND((E39/12)*5/100,2)</f>
        <v>7.79</v>
      </c>
      <c r="F103" s="108"/>
      <c r="G103" s="108"/>
    </row>
    <row r="104" spans="1:7" x14ac:dyDescent="0.25">
      <c r="A104" s="247" t="s">
        <v>4</v>
      </c>
      <c r="B104" s="641" t="s">
        <v>144</v>
      </c>
      <c r="C104" s="642"/>
      <c r="D104" s="271">
        <f>ROUND(E104/E39,4)</f>
        <v>2.9999999999999997E-4</v>
      </c>
      <c r="E104" s="272">
        <f>ROUND(E103*0.08,2)</f>
        <v>0.62</v>
      </c>
      <c r="F104" s="108"/>
      <c r="G104" s="108"/>
    </row>
    <row r="105" spans="1:7" x14ac:dyDescent="0.25">
      <c r="A105" s="211" t="s">
        <v>5</v>
      </c>
      <c r="B105" s="558" t="s">
        <v>92</v>
      </c>
      <c r="C105" s="558"/>
      <c r="D105" s="269">
        <f>ROUND(E105/E39,4)</f>
        <v>2.3999999999999998E-3</v>
      </c>
      <c r="E105" s="260">
        <f>ROUND((((E39*0.08)*0.5)*0.06),2)</f>
        <v>4.49</v>
      </c>
      <c r="F105" s="108"/>
      <c r="G105" s="108"/>
    </row>
    <row r="106" spans="1:7" x14ac:dyDescent="0.25">
      <c r="A106" s="211" t="s">
        <v>6</v>
      </c>
      <c r="B106" s="558" t="s">
        <v>93</v>
      </c>
      <c r="C106" s="558"/>
      <c r="D106" s="269">
        <f>ROUND(E106/E39,4)</f>
        <v>2.3300000000000001E-2</v>
      </c>
      <c r="E106" s="273">
        <f>ROUND(((E39/30)*7)/E14,2)</f>
        <v>43.61</v>
      </c>
      <c r="F106" s="108"/>
      <c r="G106" s="108"/>
    </row>
    <row r="107" spans="1:7" x14ac:dyDescent="0.25">
      <c r="A107" s="247" t="s">
        <v>31</v>
      </c>
      <c r="B107" s="641" t="s">
        <v>94</v>
      </c>
      <c r="C107" s="642"/>
      <c r="D107" s="271">
        <f>ROUND(E107/E39,4)</f>
        <v>7.1999999999999998E-3</v>
      </c>
      <c r="E107" s="274">
        <f>ROUND(E106*D81,2)</f>
        <v>13.52</v>
      </c>
      <c r="F107" s="108"/>
      <c r="G107" s="108"/>
    </row>
    <row r="108" spans="1:7" x14ac:dyDescent="0.25">
      <c r="A108" s="275" t="s">
        <v>6</v>
      </c>
      <c r="B108" s="643" t="s">
        <v>146</v>
      </c>
      <c r="C108" s="644"/>
      <c r="D108" s="269">
        <f>ROUND(E108/E39,4)</f>
        <v>4.7600000000000003E-2</v>
      </c>
      <c r="E108" s="260">
        <f>ROUND((E39*0.08)*0.595,2)</f>
        <v>88.96</v>
      </c>
      <c r="F108" s="108"/>
      <c r="G108" s="108"/>
    </row>
    <row r="109" spans="1:7" x14ac:dyDescent="0.25">
      <c r="A109" s="588" t="s">
        <v>77</v>
      </c>
      <c r="B109" s="588"/>
      <c r="C109" s="588"/>
      <c r="D109" s="276">
        <f>ROUND(SUM(D103:D108),4)</f>
        <v>8.5000000000000006E-2</v>
      </c>
      <c r="E109" s="232">
        <f>ROUND(SUM(E103:E108),2)</f>
        <v>158.99</v>
      </c>
      <c r="F109" s="108"/>
      <c r="G109" s="108"/>
    </row>
    <row r="110" spans="1:7" x14ac:dyDescent="0.25">
      <c r="A110" s="219"/>
      <c r="B110" s="219"/>
      <c r="C110" s="219"/>
      <c r="D110" s="219"/>
      <c r="E110" s="219"/>
      <c r="F110" s="108"/>
      <c r="G110" s="108"/>
    </row>
    <row r="111" spans="1:7" x14ac:dyDescent="0.25">
      <c r="A111" s="627" t="s">
        <v>95</v>
      </c>
      <c r="B111" s="628"/>
      <c r="C111" s="627" t="s">
        <v>97</v>
      </c>
      <c r="D111" s="629"/>
      <c r="E111" s="628"/>
      <c r="F111" s="632" t="s">
        <v>88</v>
      </c>
      <c r="G111" s="632"/>
    </row>
    <row r="112" spans="1:7" x14ac:dyDescent="0.25">
      <c r="A112" s="277" t="s">
        <v>96</v>
      </c>
      <c r="B112" s="650" t="s">
        <v>98</v>
      </c>
      <c r="C112" s="651"/>
      <c r="D112" s="277" t="s">
        <v>68</v>
      </c>
      <c r="E112" s="277" t="s">
        <v>41</v>
      </c>
      <c r="F112" s="176" t="s">
        <v>161</v>
      </c>
      <c r="G112" s="177" t="s">
        <v>162</v>
      </c>
    </row>
    <row r="113" spans="1:7" x14ac:dyDescent="0.25">
      <c r="A113" s="211" t="s">
        <v>3</v>
      </c>
      <c r="B113" s="558" t="s">
        <v>86</v>
      </c>
      <c r="C113" s="558"/>
      <c r="D113" s="259">
        <f>(100/12/100)</f>
        <v>8.3333333333333343E-2</v>
      </c>
      <c r="E113" s="260">
        <f>ROUND(E39*D113,2)</f>
        <v>155.75</v>
      </c>
      <c r="F113" s="108"/>
      <c r="G113" s="108"/>
    </row>
    <row r="114" spans="1:7" x14ac:dyDescent="0.25">
      <c r="A114" s="247" t="s">
        <v>4</v>
      </c>
      <c r="B114" s="652" t="s">
        <v>87</v>
      </c>
      <c r="C114" s="653"/>
      <c r="D114" s="278">
        <f>E114/E39</f>
        <v>1.3889780631353665E-2</v>
      </c>
      <c r="E114" s="260">
        <f>ROUND(5/30*E39/12,2)</f>
        <v>25.96</v>
      </c>
      <c r="F114" s="108"/>
      <c r="G114" s="108"/>
    </row>
    <row r="115" spans="1:7" x14ac:dyDescent="0.25">
      <c r="A115" s="211" t="s">
        <v>5</v>
      </c>
      <c r="B115" s="558" t="s">
        <v>88</v>
      </c>
      <c r="C115" s="558"/>
      <c r="D115" s="259">
        <f>E115/E39</f>
        <v>2.0833333333333332E-4</v>
      </c>
      <c r="E115" s="279">
        <f>IF(G112="S",((((5/30)*(E39))/12)*0.015),IF(G112="N",0,"INFORME S ou N"))</f>
        <v>0.38937499999999997</v>
      </c>
      <c r="F115" s="108"/>
      <c r="G115" s="108"/>
    </row>
    <row r="116" spans="1:7" x14ac:dyDescent="0.25">
      <c r="A116" s="211" t="s">
        <v>6</v>
      </c>
      <c r="B116" s="558" t="s">
        <v>89</v>
      </c>
      <c r="C116" s="558"/>
      <c r="D116" s="259">
        <f>E116/E39</f>
        <v>2.7768860353130018E-3</v>
      </c>
      <c r="E116" s="260">
        <f>ROUND((1/30*E39)/12,2)</f>
        <v>5.19</v>
      </c>
      <c r="F116" s="108"/>
      <c r="G116" s="108"/>
    </row>
    <row r="117" spans="1:7" x14ac:dyDescent="0.25">
      <c r="A117" s="211" t="s">
        <v>31</v>
      </c>
      <c r="B117" s="559" t="s">
        <v>90</v>
      </c>
      <c r="C117" s="645"/>
      <c r="D117" s="259">
        <f>E117/E39</f>
        <v>3.2637774210807918E-4</v>
      </c>
      <c r="E117" s="260">
        <f>ROUND((((15/30)*E39)/12)*0.78%,2)</f>
        <v>0.61</v>
      </c>
      <c r="F117" s="108"/>
      <c r="G117" s="108"/>
    </row>
    <row r="118" spans="1:7" x14ac:dyDescent="0.25">
      <c r="A118" s="589" t="s">
        <v>32</v>
      </c>
      <c r="B118" s="646" t="s">
        <v>39</v>
      </c>
      <c r="C118" s="280"/>
      <c r="D118" s="281">
        <f>E118/E39</f>
        <v>0</v>
      </c>
      <c r="E118" s="282">
        <v>0</v>
      </c>
      <c r="F118" s="108"/>
      <c r="G118" s="108"/>
    </row>
    <row r="119" spans="1:7" x14ac:dyDescent="0.25">
      <c r="A119" s="591"/>
      <c r="B119" s="646"/>
      <c r="C119" s="283"/>
      <c r="D119" s="284">
        <v>0</v>
      </c>
      <c r="E119" s="285">
        <f>ROUND(E39*D119,2)</f>
        <v>0</v>
      </c>
      <c r="F119" s="108"/>
      <c r="G119" s="108"/>
    </row>
    <row r="120" spans="1:7" x14ac:dyDescent="0.25">
      <c r="A120" s="647" t="s">
        <v>75</v>
      </c>
      <c r="B120" s="648"/>
      <c r="C120" s="649"/>
      <c r="D120" s="286">
        <f>SUM(D113:D119)</f>
        <v>0.10053471107544143</v>
      </c>
      <c r="E120" s="268">
        <f>ROUND(SUM(E113:E119),2)</f>
        <v>187.9</v>
      </c>
      <c r="F120" s="108"/>
      <c r="G120" s="108"/>
    </row>
    <row r="121" spans="1:7" x14ac:dyDescent="0.25">
      <c r="A121" s="275" t="s">
        <v>33</v>
      </c>
      <c r="B121" s="641" t="s">
        <v>99</v>
      </c>
      <c r="C121" s="642"/>
      <c r="D121" s="271">
        <f>ROUND(E121/E39,4)</f>
        <v>3.1199999999999999E-2</v>
      </c>
      <c r="E121" s="274">
        <f>ROUND(E120*D81,2)</f>
        <v>58.25</v>
      </c>
      <c r="F121" s="108"/>
      <c r="G121" s="108"/>
    </row>
    <row r="122" spans="1:7" x14ac:dyDescent="0.25">
      <c r="A122" s="588" t="s">
        <v>77</v>
      </c>
      <c r="B122" s="588"/>
      <c r="C122" s="588"/>
      <c r="D122" s="276">
        <f>ROUND(D120+D121,4)</f>
        <v>0.13170000000000001</v>
      </c>
      <c r="E122" s="232">
        <f>ROUND(E120+E121,2)</f>
        <v>246.15</v>
      </c>
      <c r="F122" s="108"/>
      <c r="G122" s="108"/>
    </row>
    <row r="123" spans="1:7" x14ac:dyDescent="0.25">
      <c r="A123" s="219"/>
      <c r="B123" s="219"/>
      <c r="C123" s="219"/>
      <c r="D123" s="219"/>
      <c r="E123" s="219"/>
      <c r="F123" s="108"/>
      <c r="G123" s="108"/>
    </row>
    <row r="124" spans="1:7" x14ac:dyDescent="0.25">
      <c r="A124" s="627" t="s">
        <v>100</v>
      </c>
      <c r="B124" s="628"/>
      <c r="C124" s="627" t="s">
        <v>101</v>
      </c>
      <c r="D124" s="629"/>
      <c r="E124" s="628"/>
      <c r="F124" s="108"/>
      <c r="G124" s="108"/>
    </row>
    <row r="125" spans="1:7" x14ac:dyDescent="0.25">
      <c r="A125" s="277">
        <v>4</v>
      </c>
      <c r="B125" s="650" t="s">
        <v>102</v>
      </c>
      <c r="C125" s="651"/>
      <c r="D125" s="277" t="s">
        <v>68</v>
      </c>
      <c r="E125" s="277" t="s">
        <v>41</v>
      </c>
      <c r="F125" s="108"/>
      <c r="G125" s="108"/>
    </row>
    <row r="126" spans="1:7" x14ac:dyDescent="0.25">
      <c r="A126" s="211" t="s">
        <v>60</v>
      </c>
      <c r="B126" s="558" t="s">
        <v>59</v>
      </c>
      <c r="C126" s="558"/>
      <c r="D126" s="269">
        <f>D81</f>
        <v>0.31000000000000005</v>
      </c>
      <c r="E126" s="260">
        <f>E81</f>
        <v>579.39</v>
      </c>
      <c r="F126" s="108"/>
      <c r="G126" s="108"/>
    </row>
    <row r="127" spans="1:7" x14ac:dyDescent="0.25">
      <c r="A127" s="247" t="s">
        <v>78</v>
      </c>
      <c r="B127" s="652" t="s">
        <v>72</v>
      </c>
      <c r="C127" s="653"/>
      <c r="D127" s="271">
        <f>D92</f>
        <v>0.14551111111111112</v>
      </c>
      <c r="E127" s="260">
        <f>E92</f>
        <v>272.05</v>
      </c>
      <c r="F127" s="108"/>
      <c r="G127" s="108"/>
    </row>
    <row r="128" spans="1:7" x14ac:dyDescent="0.25">
      <c r="A128" s="211" t="s">
        <v>80</v>
      </c>
      <c r="B128" s="558" t="s">
        <v>81</v>
      </c>
      <c r="C128" s="558"/>
      <c r="D128" s="269">
        <f>D99</f>
        <v>0</v>
      </c>
      <c r="E128" s="260">
        <f>E99</f>
        <v>0</v>
      </c>
      <c r="F128" s="108"/>
      <c r="G128" s="108"/>
    </row>
    <row r="129" spans="1:7" x14ac:dyDescent="0.25">
      <c r="A129" s="211" t="s">
        <v>84</v>
      </c>
      <c r="B129" s="558" t="s">
        <v>85</v>
      </c>
      <c r="C129" s="558"/>
      <c r="D129" s="269">
        <f>D109</f>
        <v>8.5000000000000006E-2</v>
      </c>
      <c r="E129" s="260">
        <f>E109</f>
        <v>158.99</v>
      </c>
      <c r="F129" s="108"/>
      <c r="G129" s="108"/>
    </row>
    <row r="130" spans="1:7" x14ac:dyDescent="0.25">
      <c r="A130" s="211" t="s">
        <v>96</v>
      </c>
      <c r="B130" s="559" t="s">
        <v>104</v>
      </c>
      <c r="C130" s="645"/>
      <c r="D130" s="269">
        <f>D122</f>
        <v>0.13170000000000001</v>
      </c>
      <c r="E130" s="260">
        <f>E122</f>
        <v>246.15</v>
      </c>
      <c r="F130" s="108"/>
      <c r="G130" s="108"/>
    </row>
    <row r="131" spans="1:7" x14ac:dyDescent="0.25">
      <c r="A131" s="589" t="s">
        <v>103</v>
      </c>
      <c r="B131" s="646" t="s">
        <v>39</v>
      </c>
      <c r="C131" s="280"/>
      <c r="D131" s="287">
        <v>0</v>
      </c>
      <c r="E131" s="285">
        <f>E54*D131</f>
        <v>0</v>
      </c>
      <c r="F131" s="108"/>
      <c r="G131" s="108"/>
    </row>
    <row r="132" spans="1:7" x14ac:dyDescent="0.25">
      <c r="A132" s="591"/>
      <c r="B132" s="646"/>
      <c r="C132" s="288"/>
      <c r="D132" s="289">
        <v>0</v>
      </c>
      <c r="E132" s="285">
        <f>E54*D132</f>
        <v>0</v>
      </c>
      <c r="F132" s="108"/>
      <c r="G132" s="108"/>
    </row>
    <row r="133" spans="1:7" x14ac:dyDescent="0.25">
      <c r="A133" s="588" t="s">
        <v>77</v>
      </c>
      <c r="B133" s="588"/>
      <c r="C133" s="588"/>
      <c r="D133" s="276">
        <f>SUM(D126:D132)</f>
        <v>0.6722111111111112</v>
      </c>
      <c r="E133" s="232">
        <f>ROUND(SUM(E126:E132),2)</f>
        <v>1256.58</v>
      </c>
      <c r="F133" s="108"/>
      <c r="G133" s="108"/>
    </row>
    <row r="134" spans="1:7" x14ac:dyDescent="0.25">
      <c r="A134" s="219"/>
      <c r="B134" s="219"/>
      <c r="C134" s="219"/>
      <c r="D134" s="219"/>
      <c r="E134" s="219"/>
      <c r="F134" s="108"/>
      <c r="G134" s="108"/>
    </row>
    <row r="135" spans="1:7" x14ac:dyDescent="0.25">
      <c r="A135" s="587" t="s">
        <v>105</v>
      </c>
      <c r="B135" s="587"/>
      <c r="C135" s="587" t="s">
        <v>106</v>
      </c>
      <c r="D135" s="587"/>
      <c r="E135" s="587"/>
      <c r="F135" s="108"/>
      <c r="G135" s="108"/>
    </row>
    <row r="136" spans="1:7" x14ac:dyDescent="0.25">
      <c r="A136" s="224">
        <v>5</v>
      </c>
      <c r="B136" s="588" t="s">
        <v>107</v>
      </c>
      <c r="C136" s="588"/>
      <c r="D136" s="224" t="s">
        <v>68</v>
      </c>
      <c r="E136" s="224" t="s">
        <v>41</v>
      </c>
      <c r="F136" s="108"/>
      <c r="G136" s="108"/>
    </row>
    <row r="137" spans="1:7" x14ac:dyDescent="0.25">
      <c r="A137" s="589" t="s">
        <v>3</v>
      </c>
      <c r="B137" s="654" t="s">
        <v>151</v>
      </c>
      <c r="C137" s="655"/>
      <c r="D137" s="656"/>
      <c r="E137" s="290">
        <f>E39+E54+E67+E133</f>
        <v>5399.2146666666667</v>
      </c>
      <c r="F137" s="108"/>
      <c r="G137" s="108"/>
    </row>
    <row r="138" spans="1:7" x14ac:dyDescent="0.25">
      <c r="A138" s="591"/>
      <c r="B138" s="558" t="s">
        <v>108</v>
      </c>
      <c r="C138" s="558"/>
      <c r="D138" s="291">
        <v>5.8999999999999997E-2</v>
      </c>
      <c r="E138" s="292">
        <f>E137*D138</f>
        <v>318.5536653333333</v>
      </c>
      <c r="F138" s="108"/>
      <c r="G138" s="108"/>
    </row>
    <row r="139" spans="1:7" x14ac:dyDescent="0.25">
      <c r="A139" s="657" t="s">
        <v>4</v>
      </c>
      <c r="B139" s="660" t="s">
        <v>109</v>
      </c>
      <c r="C139" s="661"/>
      <c r="D139" s="661"/>
      <c r="E139" s="662"/>
      <c r="F139" s="108"/>
      <c r="G139" s="108"/>
    </row>
    <row r="140" spans="1:7" x14ac:dyDescent="0.25">
      <c r="A140" s="658"/>
      <c r="B140" s="663" t="s">
        <v>110</v>
      </c>
      <c r="C140" s="233" t="s">
        <v>141</v>
      </c>
      <c r="D140" s="259">
        <v>0</v>
      </c>
      <c r="E140" s="292">
        <f>ROUND((E164+E138+E152)/(1-D150)*D140,2)</f>
        <v>0</v>
      </c>
      <c r="F140" s="108"/>
      <c r="G140" s="108"/>
    </row>
    <row r="141" spans="1:7" x14ac:dyDescent="0.25">
      <c r="A141" s="658"/>
      <c r="B141" s="664"/>
      <c r="C141" s="233" t="s">
        <v>112</v>
      </c>
      <c r="D141" s="259">
        <v>0</v>
      </c>
      <c r="E141" s="292">
        <f>ROUND((E164+E138+E152)/(1-D150)*D141,2)</f>
        <v>0</v>
      </c>
      <c r="F141" s="108"/>
      <c r="G141" s="108"/>
    </row>
    <row r="142" spans="1:7" x14ac:dyDescent="0.25">
      <c r="A142" s="658"/>
      <c r="B142" s="664"/>
      <c r="C142" s="233" t="s">
        <v>111</v>
      </c>
      <c r="D142" s="259">
        <f>IF(D9=1,7.6%,IF(D9=2,3%,IF(D9=3,C172,IF(D9=4,C172,"RT Indefinido"))))</f>
        <v>0</v>
      </c>
      <c r="E142" s="292">
        <f>ROUND((E164+E138+E152)/(1-D150)*D142,2)</f>
        <v>0</v>
      </c>
      <c r="F142" s="108"/>
      <c r="G142" s="108"/>
    </row>
    <row r="143" spans="1:7" x14ac:dyDescent="0.25">
      <c r="A143" s="658"/>
      <c r="B143" s="665"/>
      <c r="C143" s="293" t="s">
        <v>113</v>
      </c>
      <c r="D143" s="259">
        <f>IF(D9=1,1.65%,IF(D9=2,0.65%,IF(D9=3,C173,IF(D9=4,C173,"RT Indefinido"))))</f>
        <v>0</v>
      </c>
      <c r="E143" s="292">
        <f>ROUND((E164+E138+E152)/(1-D150)*D143,2)</f>
        <v>0</v>
      </c>
      <c r="F143" s="108"/>
      <c r="G143" s="108"/>
    </row>
    <row r="144" spans="1:7" x14ac:dyDescent="0.25">
      <c r="A144" s="658"/>
      <c r="B144" s="646" t="s">
        <v>114</v>
      </c>
      <c r="C144" s="293"/>
      <c r="D144" s="278">
        <v>0</v>
      </c>
      <c r="E144" s="292">
        <f>ROUND((E164+E138+E152)/(1-D150)*D144,2)</f>
        <v>0</v>
      </c>
      <c r="F144" s="108"/>
      <c r="G144" s="108"/>
    </row>
    <row r="145" spans="1:7" x14ac:dyDescent="0.25">
      <c r="A145" s="658"/>
      <c r="B145" s="646"/>
      <c r="C145" s="293"/>
      <c r="D145" s="278">
        <v>0</v>
      </c>
      <c r="E145" s="292">
        <f>ROUND((E164+E141+E152)/(1-D150)*D145,2)</f>
        <v>0</v>
      </c>
      <c r="F145" s="108"/>
      <c r="G145" s="108"/>
    </row>
    <row r="146" spans="1:7" x14ac:dyDescent="0.25">
      <c r="A146" s="658"/>
      <c r="B146" s="666" t="s">
        <v>115</v>
      </c>
      <c r="C146" s="293" t="s">
        <v>116</v>
      </c>
      <c r="D146" s="294">
        <v>0.03</v>
      </c>
      <c r="E146" s="292">
        <f>ROUND((E164+E138+E152)/(1-D150)*D146,2)</f>
        <v>229.89</v>
      </c>
      <c r="F146" s="108"/>
      <c r="G146" s="108"/>
    </row>
    <row r="147" spans="1:7" x14ac:dyDescent="0.25">
      <c r="A147" s="658"/>
      <c r="B147" s="666"/>
      <c r="C147" s="293"/>
      <c r="D147" s="278">
        <v>0</v>
      </c>
      <c r="E147" s="292">
        <f>ROUND((E164+E138+E152)/(1-D161)*D147,2)</f>
        <v>0</v>
      </c>
      <c r="F147" s="108"/>
      <c r="G147" s="108"/>
    </row>
    <row r="148" spans="1:7" x14ac:dyDescent="0.25">
      <c r="A148" s="658"/>
      <c r="B148" s="667" t="s">
        <v>117</v>
      </c>
      <c r="C148" s="293" t="s">
        <v>142</v>
      </c>
      <c r="D148" s="278">
        <f>IF(D9=3,C174,0%)</f>
        <v>0</v>
      </c>
      <c r="E148" s="292">
        <f>ROUND((E164+E138+E152)/(1-D150)*D148,2)</f>
        <v>0</v>
      </c>
      <c r="F148" s="108"/>
      <c r="G148" s="108"/>
    </row>
    <row r="149" spans="1:7" x14ac:dyDescent="0.25">
      <c r="A149" s="658"/>
      <c r="B149" s="668"/>
      <c r="C149" s="293"/>
      <c r="D149" s="278">
        <v>0</v>
      </c>
      <c r="E149" s="292">
        <f>ROUND((E164+E138+E152)/(1-D152)*D149,2)</f>
        <v>0</v>
      </c>
      <c r="F149" s="108"/>
      <c r="G149" s="108"/>
    </row>
    <row r="150" spans="1:7" x14ac:dyDescent="0.25">
      <c r="A150" s="659"/>
      <c r="B150" s="669" t="s">
        <v>145</v>
      </c>
      <c r="C150" s="670"/>
      <c r="D150" s="286">
        <f>SUM(D140:D149)</f>
        <v>0.03</v>
      </c>
      <c r="E150" s="232">
        <f>ROUND(((E164+E138+E152)/(1-D150))*D150,2)</f>
        <v>229.89</v>
      </c>
      <c r="F150" s="195"/>
      <c r="G150" s="108"/>
    </row>
    <row r="151" spans="1:7" x14ac:dyDescent="0.25">
      <c r="A151" s="589" t="s">
        <v>5</v>
      </c>
      <c r="B151" s="654" t="s">
        <v>152</v>
      </c>
      <c r="C151" s="655"/>
      <c r="D151" s="656"/>
      <c r="E151" s="290">
        <f>E39+E54+E67+E133+E138</f>
        <v>5717.7683319999996</v>
      </c>
      <c r="F151" s="108"/>
      <c r="G151" s="108"/>
    </row>
    <row r="152" spans="1:7" x14ac:dyDescent="0.25">
      <c r="A152" s="591"/>
      <c r="B152" s="630" t="s">
        <v>118</v>
      </c>
      <c r="C152" s="630"/>
      <c r="D152" s="295">
        <v>0.3</v>
      </c>
      <c r="E152" s="292">
        <f>(E151*D152)</f>
        <v>1715.3304995999999</v>
      </c>
      <c r="F152" s="108"/>
      <c r="G152" s="108"/>
    </row>
    <row r="153" spans="1:7" x14ac:dyDescent="0.25">
      <c r="A153" s="588" t="s">
        <v>77</v>
      </c>
      <c r="B153" s="588"/>
      <c r="C153" s="588"/>
      <c r="D153" s="265">
        <f>ROUND(SUM(D138+D150+D152),4)</f>
        <v>0.38900000000000001</v>
      </c>
      <c r="E153" s="232">
        <f>E138+E150+E152</f>
        <v>2263.7741649333329</v>
      </c>
      <c r="F153" s="108"/>
      <c r="G153" s="108"/>
    </row>
    <row r="154" spans="1:7" x14ac:dyDescent="0.25">
      <c r="A154" s="243" t="s">
        <v>25</v>
      </c>
      <c r="B154" s="576" t="s">
        <v>119</v>
      </c>
      <c r="C154" s="576"/>
      <c r="D154" s="576"/>
      <c r="E154" s="577"/>
      <c r="F154" s="108"/>
      <c r="G154" s="108"/>
    </row>
    <row r="155" spans="1:7" x14ac:dyDescent="0.25">
      <c r="A155" s="266" t="s">
        <v>26</v>
      </c>
      <c r="B155" s="580" t="s">
        <v>120</v>
      </c>
      <c r="C155" s="580"/>
      <c r="D155" s="580"/>
      <c r="E155" s="581"/>
      <c r="F155" s="108"/>
      <c r="G155" s="108"/>
    </row>
    <row r="156" spans="1:7" x14ac:dyDescent="0.25">
      <c r="A156" s="296"/>
      <c r="B156" s="297"/>
      <c r="C156" s="297"/>
      <c r="D156" s="297"/>
      <c r="E156" s="297"/>
      <c r="F156" s="108"/>
      <c r="G156" s="108"/>
    </row>
    <row r="157" spans="1:7" x14ac:dyDescent="0.25">
      <c r="A157" s="564" t="s">
        <v>178</v>
      </c>
      <c r="B157" s="564"/>
      <c r="C157" s="564"/>
      <c r="D157" s="564"/>
      <c r="E157" s="564"/>
      <c r="F157" s="108"/>
      <c r="G157" s="108"/>
    </row>
    <row r="158" spans="1:7" x14ac:dyDescent="0.25">
      <c r="A158" s="587" t="s">
        <v>121</v>
      </c>
      <c r="B158" s="587"/>
      <c r="C158" s="587"/>
      <c r="D158" s="587"/>
      <c r="E158" s="587"/>
      <c r="F158" s="108"/>
      <c r="G158" s="108"/>
    </row>
    <row r="159" spans="1:7" x14ac:dyDescent="0.25">
      <c r="A159" s="582" t="s">
        <v>122</v>
      </c>
      <c r="B159" s="582"/>
      <c r="C159" s="582"/>
      <c r="D159" s="582"/>
      <c r="E159" s="215" t="s">
        <v>129</v>
      </c>
      <c r="F159" s="108"/>
      <c r="G159" s="108"/>
    </row>
    <row r="160" spans="1:7" x14ac:dyDescent="0.25">
      <c r="A160" s="211" t="s">
        <v>3</v>
      </c>
      <c r="B160" s="558" t="s">
        <v>125</v>
      </c>
      <c r="C160" s="558"/>
      <c r="D160" s="558"/>
      <c r="E160" s="298">
        <f>E39</f>
        <v>1869</v>
      </c>
      <c r="F160" s="108"/>
      <c r="G160" s="108"/>
    </row>
    <row r="161" spans="1:7" x14ac:dyDescent="0.25">
      <c r="A161" s="211" t="s">
        <v>4</v>
      </c>
      <c r="B161" s="558" t="s">
        <v>126</v>
      </c>
      <c r="C161" s="558"/>
      <c r="D161" s="558"/>
      <c r="E161" s="298">
        <f>E54</f>
        <v>143.22</v>
      </c>
      <c r="F161" s="108"/>
      <c r="G161" s="108"/>
    </row>
    <row r="162" spans="1:7" x14ac:dyDescent="0.25">
      <c r="A162" s="211" t="s">
        <v>5</v>
      </c>
      <c r="B162" s="558" t="s">
        <v>127</v>
      </c>
      <c r="C162" s="558"/>
      <c r="D162" s="558"/>
      <c r="E162" s="298">
        <f>E67</f>
        <v>2130.414666666667</v>
      </c>
      <c r="F162" s="108"/>
      <c r="G162" s="108"/>
    </row>
    <row r="163" spans="1:7" x14ac:dyDescent="0.25">
      <c r="A163" s="211" t="s">
        <v>6</v>
      </c>
      <c r="B163" s="558" t="s">
        <v>102</v>
      </c>
      <c r="C163" s="558"/>
      <c r="D163" s="558"/>
      <c r="E163" s="298">
        <f>E133</f>
        <v>1256.58</v>
      </c>
      <c r="F163" s="108"/>
      <c r="G163" s="108"/>
    </row>
    <row r="164" spans="1:7" x14ac:dyDescent="0.25">
      <c r="A164" s="588" t="s">
        <v>123</v>
      </c>
      <c r="B164" s="588"/>
      <c r="C164" s="588"/>
      <c r="D164" s="588"/>
      <c r="E164" s="299">
        <f>SUM(E160:E163)</f>
        <v>5399.2146666666667</v>
      </c>
      <c r="F164" s="108"/>
      <c r="G164" s="108"/>
    </row>
    <row r="165" spans="1:7" x14ac:dyDescent="0.25">
      <c r="A165" s="211" t="s">
        <v>31</v>
      </c>
      <c r="B165" s="559" t="s">
        <v>128</v>
      </c>
      <c r="C165" s="560"/>
      <c r="D165" s="645"/>
      <c r="E165" s="298">
        <f>E153</f>
        <v>2263.7741649333329</v>
      </c>
      <c r="F165" s="108"/>
      <c r="G165" s="108"/>
    </row>
    <row r="166" spans="1:7" x14ac:dyDescent="0.25">
      <c r="A166" s="565" t="s">
        <v>124</v>
      </c>
      <c r="B166" s="566"/>
      <c r="C166" s="566"/>
      <c r="D166" s="566"/>
      <c r="E166" s="299">
        <f>E164+E165</f>
        <v>7662.9888315999997</v>
      </c>
      <c r="F166" s="195"/>
      <c r="G166" s="108"/>
    </row>
    <row r="167" spans="1:7" x14ac:dyDescent="0.25">
      <c r="A167" s="565" t="s">
        <v>175</v>
      </c>
      <c r="B167" s="566"/>
      <c r="C167" s="566"/>
      <c r="D167" s="566"/>
      <c r="E167" s="299">
        <f>ROUND((E166/D18),2)</f>
        <v>10.210000000000001</v>
      </c>
      <c r="F167" s="108"/>
      <c r="G167" s="108"/>
    </row>
    <row r="168" spans="1:7" x14ac:dyDescent="0.25">
      <c r="A168" s="219"/>
      <c r="B168" s="219"/>
      <c r="C168" s="219"/>
      <c r="D168" s="219"/>
      <c r="E168" s="219"/>
      <c r="F168" s="108"/>
      <c r="G168" s="108"/>
    </row>
    <row r="169" spans="1:7" x14ac:dyDescent="0.25">
      <c r="A169" s="219"/>
      <c r="B169" s="671" t="s">
        <v>159</v>
      </c>
      <c r="C169" s="671"/>
      <c r="D169" s="671"/>
      <c r="E169" s="671"/>
      <c r="F169" s="108"/>
      <c r="G169" s="108"/>
    </row>
    <row r="170" spans="1:7" x14ac:dyDescent="0.25">
      <c r="A170" s="219"/>
      <c r="B170" s="672" t="s">
        <v>155</v>
      </c>
      <c r="C170" s="672"/>
      <c r="D170" s="673" t="s">
        <v>160</v>
      </c>
      <c r="E170" s="673"/>
      <c r="F170" s="108"/>
      <c r="G170" s="108"/>
    </row>
    <row r="171" spans="1:7" x14ac:dyDescent="0.25">
      <c r="A171" s="219"/>
      <c r="B171" s="300" t="s">
        <v>156</v>
      </c>
      <c r="C171" s="300" t="s">
        <v>157</v>
      </c>
      <c r="D171" s="674">
        <v>120000</v>
      </c>
      <c r="E171" s="674"/>
      <c r="F171" s="108"/>
      <c r="G171" s="108"/>
    </row>
    <row r="172" spans="1:7" x14ac:dyDescent="0.25">
      <c r="A172" s="219"/>
      <c r="B172" s="300" t="s">
        <v>111</v>
      </c>
      <c r="C172" s="301">
        <v>0</v>
      </c>
      <c r="D172" s="675" t="s">
        <v>176</v>
      </c>
      <c r="E172" s="676"/>
      <c r="F172" s="108"/>
      <c r="G172" s="108"/>
    </row>
    <row r="173" spans="1:7" x14ac:dyDescent="0.25">
      <c r="A173" s="219"/>
      <c r="B173" s="300" t="s">
        <v>113</v>
      </c>
      <c r="C173" s="301">
        <v>0</v>
      </c>
      <c r="D173" s="677"/>
      <c r="E173" s="678"/>
      <c r="F173" s="108"/>
      <c r="G173" s="108"/>
    </row>
    <row r="174" spans="1:7" x14ac:dyDescent="0.25">
      <c r="A174" s="219"/>
      <c r="B174" s="300" t="s">
        <v>158</v>
      </c>
      <c r="C174" s="301">
        <v>0</v>
      </c>
      <c r="D174" s="219"/>
      <c r="E174" s="219"/>
      <c r="F174" s="108"/>
      <c r="G174" s="108"/>
    </row>
    <row r="175" spans="1:7" x14ac:dyDescent="0.25">
      <c r="A175" s="4"/>
      <c r="B175" s="4"/>
      <c r="C175" s="4"/>
      <c r="D175" s="4"/>
      <c r="E175" s="4"/>
      <c r="F175" s="4"/>
      <c r="G175" s="4"/>
    </row>
  </sheetData>
  <mergeCells count="186"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  <mergeCell ref="B155:E155"/>
    <mergeCell ref="A157:E157"/>
    <mergeCell ref="A158:E158"/>
    <mergeCell ref="A159:D159"/>
    <mergeCell ref="B160:D160"/>
    <mergeCell ref="B161:D161"/>
    <mergeCell ref="B150:C150"/>
    <mergeCell ref="A151:A152"/>
    <mergeCell ref="B151:D151"/>
    <mergeCell ref="B152:C152"/>
    <mergeCell ref="A153:C153"/>
    <mergeCell ref="B154:E154"/>
    <mergeCell ref="B136:C136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29:C129"/>
    <mergeCell ref="B130:C130"/>
    <mergeCell ref="A131:A132"/>
    <mergeCell ref="B131:B132"/>
    <mergeCell ref="A133:C133"/>
    <mergeCell ref="A135:B135"/>
    <mergeCell ref="C135:E135"/>
    <mergeCell ref="A124:B124"/>
    <mergeCell ref="C124:E124"/>
    <mergeCell ref="B125:C125"/>
    <mergeCell ref="B126:C126"/>
    <mergeCell ref="B127:C127"/>
    <mergeCell ref="B128:C128"/>
    <mergeCell ref="B117:C117"/>
    <mergeCell ref="A118:A119"/>
    <mergeCell ref="B118:B119"/>
    <mergeCell ref="A120:C120"/>
    <mergeCell ref="B121:C121"/>
    <mergeCell ref="A122:C122"/>
    <mergeCell ref="F111:G111"/>
    <mergeCell ref="B112:C112"/>
    <mergeCell ref="B113:C113"/>
    <mergeCell ref="B114:C114"/>
    <mergeCell ref="B115:C115"/>
    <mergeCell ref="B116:C116"/>
    <mergeCell ref="B105:C105"/>
    <mergeCell ref="B106:C106"/>
    <mergeCell ref="B107:C107"/>
    <mergeCell ref="B108:C108"/>
    <mergeCell ref="A109:C109"/>
    <mergeCell ref="A111:B111"/>
    <mergeCell ref="C111:E111"/>
    <mergeCell ref="A99:C99"/>
    <mergeCell ref="A101:B101"/>
    <mergeCell ref="C101:E101"/>
    <mergeCell ref="B102:C102"/>
    <mergeCell ref="B103:C103"/>
    <mergeCell ref="B104:C104"/>
    <mergeCell ref="F94:G94"/>
    <mergeCell ref="B95:C95"/>
    <mergeCell ref="B96:C96"/>
    <mergeCell ref="A97:A98"/>
    <mergeCell ref="B97:C98"/>
    <mergeCell ref="D97:D98"/>
    <mergeCell ref="E97:E98"/>
    <mergeCell ref="A90:A91"/>
    <mergeCell ref="B90:C91"/>
    <mergeCell ref="D90:D91"/>
    <mergeCell ref="E90:E91"/>
    <mergeCell ref="A92:C92"/>
    <mergeCell ref="A94:B94"/>
    <mergeCell ref="C94:E94"/>
    <mergeCell ref="A85:B85"/>
    <mergeCell ref="C85:E85"/>
    <mergeCell ref="B86:C86"/>
    <mergeCell ref="B87:C87"/>
    <mergeCell ref="B88:C88"/>
    <mergeCell ref="A89:C89"/>
    <mergeCell ref="B78:C78"/>
    <mergeCell ref="B79:C79"/>
    <mergeCell ref="B80:C80"/>
    <mergeCell ref="A81:C81"/>
    <mergeCell ref="B82:E82"/>
    <mergeCell ref="B83:E83"/>
    <mergeCell ref="B72:C72"/>
    <mergeCell ref="B73:C73"/>
    <mergeCell ref="B74:C74"/>
    <mergeCell ref="B75:C75"/>
    <mergeCell ref="B76:C76"/>
    <mergeCell ref="B77:C77"/>
    <mergeCell ref="A67:D67"/>
    <mergeCell ref="B68:E68"/>
    <mergeCell ref="A70:B70"/>
    <mergeCell ref="C70:E70"/>
    <mergeCell ref="A71:B71"/>
    <mergeCell ref="C71:E71"/>
    <mergeCell ref="A63:A64"/>
    <mergeCell ref="B63:B64"/>
    <mergeCell ref="E63:E64"/>
    <mergeCell ref="A65:A66"/>
    <mergeCell ref="B65:B66"/>
    <mergeCell ref="E65:E66"/>
    <mergeCell ref="B55:E55"/>
    <mergeCell ref="B56:E56"/>
    <mergeCell ref="A58:B58"/>
    <mergeCell ref="C58:E58"/>
    <mergeCell ref="B59:D59"/>
    <mergeCell ref="A60:A61"/>
    <mergeCell ref="B60:B61"/>
    <mergeCell ref="E60:E61"/>
    <mergeCell ref="A51:A53"/>
    <mergeCell ref="B51:B53"/>
    <mergeCell ref="C51:D51"/>
    <mergeCell ref="C52:D52"/>
    <mergeCell ref="C53:D53"/>
    <mergeCell ref="A54:D54"/>
    <mergeCell ref="A45:A47"/>
    <mergeCell ref="B45:B47"/>
    <mergeCell ref="E45:E47"/>
    <mergeCell ref="B48:D48"/>
    <mergeCell ref="B49:D49"/>
    <mergeCell ref="B50:D50"/>
    <mergeCell ref="A40:B40"/>
    <mergeCell ref="C40:E40"/>
    <mergeCell ref="B41:D41"/>
    <mergeCell ref="A42:A44"/>
    <mergeCell ref="B42:B44"/>
    <mergeCell ref="E42:E44"/>
    <mergeCell ref="B35:D35"/>
    <mergeCell ref="B36:D36"/>
    <mergeCell ref="A37:A38"/>
    <mergeCell ref="B37:B38"/>
    <mergeCell ref="E37:E38"/>
    <mergeCell ref="A39:D39"/>
    <mergeCell ref="B30:D30"/>
    <mergeCell ref="B31:D31"/>
    <mergeCell ref="B32:E32"/>
    <mergeCell ref="A33:B33"/>
    <mergeCell ref="C33:E33"/>
    <mergeCell ref="B34:D34"/>
    <mergeCell ref="A24:E24"/>
    <mergeCell ref="A25:E25"/>
    <mergeCell ref="A26:E26"/>
    <mergeCell ref="A27:E27"/>
    <mergeCell ref="B28:D28"/>
    <mergeCell ref="B29:D29"/>
    <mergeCell ref="A18:C18"/>
    <mergeCell ref="D18:E18"/>
    <mergeCell ref="B19:E19"/>
    <mergeCell ref="B20:E20"/>
    <mergeCell ref="B21:E21"/>
    <mergeCell ref="B22:E22"/>
    <mergeCell ref="B13:D13"/>
    <mergeCell ref="B14:D14"/>
    <mergeCell ref="A15:E15"/>
    <mergeCell ref="A16:B16"/>
    <mergeCell ref="D16:E16"/>
    <mergeCell ref="A17:B17"/>
    <mergeCell ref="D17:E17"/>
    <mergeCell ref="A8:B8"/>
    <mergeCell ref="C8:E8"/>
    <mergeCell ref="A9:C9"/>
    <mergeCell ref="A10:E10"/>
    <mergeCell ref="B11:D11"/>
    <mergeCell ref="B12:C12"/>
    <mergeCell ref="D12:E12"/>
    <mergeCell ref="A1:E1"/>
    <mergeCell ref="A2:E2"/>
    <mergeCell ref="A3:E3"/>
    <mergeCell ref="B4:C4"/>
    <mergeCell ref="A6:E6"/>
    <mergeCell ref="A7:B7"/>
    <mergeCell ref="C7:E7"/>
  </mergeCells>
  <pageMargins left="0.11811023622047245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Planilha Modelo</vt:lpstr>
      <vt:lpstr>Rincão</vt:lpstr>
      <vt:lpstr>Pai João</vt:lpstr>
    </vt:vector>
  </TitlesOfParts>
  <Company>cefetsvs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Parode</dc:creator>
  <cp:lastModifiedBy>Michelli Araujo da Costa</cp:lastModifiedBy>
  <cp:lastPrinted>2020-01-10T10:14:24Z</cp:lastPrinted>
  <dcterms:created xsi:type="dcterms:W3CDTF">2011-03-21T16:34:02Z</dcterms:created>
  <dcterms:modified xsi:type="dcterms:W3CDTF">2020-03-19T20:18:45Z</dcterms:modified>
</cp:coreProperties>
</file>